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400" yWindow="885" windowWidth="13710" windowHeight="11655" tabRatio="698" firstSheet="1" activeTab="9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пень" sheetId="8" r:id="rId8"/>
    <sheet name="серпень" sheetId="9" r:id="rId9"/>
    <sheet name="вересень" sheetId="10" r:id="rId10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<sst xmlns="http://schemas.openxmlformats.org/spreadsheetml/2006/main" count="1040" uniqueCount="70">
  <si>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</si>
  <si>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</si>
  <si>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</si>
  <si>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</si>
  <si>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</si>
  <si>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</si>
  <si>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</si>
  <si>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</si>
  <si>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</si>
  <si>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</si>
  <si>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</si>
  <si>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</si>
  <si>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</si>
  <si>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</si>
  <si>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</si>
  <si>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</si>
  <si>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</si>
  <si>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</si>
  <si>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</si>
  <si>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</si>
  <si>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</si>
  <si>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</si>
  <si>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</si>
  <si>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</si>
  <si>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</si>
  <si>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</si>
  <si>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</si>
  <si>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</si>
  <si>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</si>
  <si>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</si>
  <si>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</si>
  <si>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</si>
  <si>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</si>
  <si>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</si>
  <si>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</si>
  <si>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</si>
  <si>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</si>
  <si>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</si>
  <si>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</si>
  <si>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</si>
  <si>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</si>
  <si>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</si>
  <si>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</si>
  <si>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</si>
  <si>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</si>
  <si>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</si>
  <si>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</si>
  <si>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</si>
  <si>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</si>
  <si>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</si>
  <si>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</si>
  <si>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</si>
  <si>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2019 р.</t>
  </si>
  <si>
    <t>по міському бюджету м.Черкаси у ЛЮТОМУ 2019 р.</t>
  </si>
  <si>
    <t>надійшло доходів/план видатків
 на лютий</t>
  </si>
  <si>
    <t>по міському бюджету м.Черкаси у БЕРЕЗНІ 2019 р.</t>
  </si>
  <si>
    <t>надійшло доходів/план видатків
 на березень</t>
  </si>
  <si>
    <t>надійшло доходів/план видатків
 на квітень</t>
  </si>
  <si>
    <t>Субвенція обласному та державному бюджетам</t>
  </si>
  <si>
    <t>по міському бюджету м.Черкаси у КВІТНІ 2019 р.</t>
  </si>
  <si>
    <t>по міському бюджету м.Черкаси у ТРАВНІ 2019 р.</t>
  </si>
  <si>
    <t>надійшло доходів/план видатків
 на травень</t>
  </si>
  <si>
    <t>по міському бюджету м.Черкаси у ЧЕРВНІ 2019 р.</t>
  </si>
  <si>
    <t>надійшло доходів/план видатків
 на червень</t>
  </si>
  <si>
    <t>по міському бюджету м.Черкаси у ЛИПНІ 2019 р.</t>
  </si>
  <si>
    <t>надійшло доходів/план видатків
 на липень</t>
  </si>
  <si>
    <t>по міському бюджету м.Черкаси у СЕРПНІ 2019 р.</t>
  </si>
  <si>
    <t>надійшло доходів/план видатків
 на серпень</t>
  </si>
  <si>
    <t>по міському бюджету м.Черкаси у ВЕРЕСНІ 2019 р.</t>
  </si>
  <si>
    <t>надійшло доходів/план видатків
 на вересень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</si>
</sst>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2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200" fontId="21" fillId="33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 vertical="center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/>
    </xf>
    <xf numFmtId="200" fontId="1" fillId="33" borderId="0" xfId="0" applyNumberFormat="1" applyFont="1" applyFill="1" applyAlignment="1">
      <alignment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196" fontId="10" fillId="33" borderId="10" xfId="0" applyNumberFormat="1" applyFont="1" applyFill="1" applyBorder="1" applyAlignment="1">
      <alignment horizontal="right"/>
    </xf>
    <xf numFmtId="200" fontId="10" fillId="33" borderId="10" xfId="0" applyNumberFormat="1" applyFont="1" applyFill="1" applyBorder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right"/>
    </xf>
    <xf numFmtId="0" fontId="2" fillId="33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right" vertical="center"/>
    </xf>
    <xf numFmtId="0" fontId="10" fillId="33" borderId="10" xfId="0" applyFont="1" applyFill="1" applyBorder="1" applyAlignment="1">
      <alignment horizontal="left" vertical="center" wrapText="1"/>
    </xf>
    <xf numFmtId="196" fontId="0" fillId="33" borderId="0" xfId="0" applyNumberFormat="1" applyFont="1" applyFill="1" applyAlignment="1">
      <alignment/>
    </xf>
    <xf numFmtId="196" fontId="0" fillId="33" borderId="0" xfId="0" applyNumberFormat="1" applyFill="1" applyAlignment="1">
      <alignment horizontal="right" vertical="center"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10" fillId="33" borderId="0" xfId="0" applyNumberFormat="1" applyFont="1" applyFill="1" applyBorder="1" applyAlignment="1">
      <alignment horizontal="center" vertic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2" fillId="34" borderId="10" xfId="0" applyFont="1" applyFill="1" applyBorder="1" applyAlignment="1">
      <alignment wrapText="1"/>
    </xf>
    <xf numFmtId="196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196" fontId="0" fillId="34" borderId="0" xfId="0" applyNumberFormat="1" applyFill="1" applyAlignment="1">
      <alignment/>
    </xf>
    <xf numFmtId="0" fontId="4" fillId="34" borderId="10" xfId="0" applyFont="1" applyFill="1" applyBorder="1" applyAlignment="1">
      <alignment horizontal="left" wrapText="1" indent="1"/>
    </xf>
    <xf numFmtId="196" fontId="10" fillId="34" borderId="10" xfId="0" applyNumberFormat="1" applyFont="1" applyFill="1" applyBorder="1" applyAlignment="1">
      <alignment horizontal="right"/>
    </xf>
    <xf numFmtId="200" fontId="10" fillId="34" borderId="10" xfId="0" applyNumberFormat="1" applyFont="1" applyFill="1" applyBorder="1" applyAlignment="1">
      <alignment/>
    </xf>
    <xf numFmtId="0" fontId="20" fillId="34" borderId="10" xfId="0" applyFont="1" applyFill="1" applyBorder="1" applyAlignment="1">
      <alignment wrapText="1"/>
    </xf>
    <xf numFmtId="196" fontId="21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196" fontId="22" fillId="34" borderId="0" xfId="0" applyNumberFormat="1" applyFont="1" applyFill="1" applyAlignment="1">
      <alignment/>
    </xf>
    <xf numFmtId="0" fontId="22" fillId="34" borderId="0" xfId="0" applyFont="1" applyFill="1" applyAlignment="1">
      <alignment/>
    </xf>
    <xf numFmtId="196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horizontal="left" wrapText="1" indent="1"/>
    </xf>
    <xf numFmtId="196" fontId="0" fillId="34" borderId="0" xfId="0" applyNumberFormat="1" applyFont="1" applyFill="1" applyAlignment="1">
      <alignment/>
    </xf>
    <xf numFmtId="200" fontId="10" fillId="34" borderId="10" xfId="0" applyNumberFormat="1" applyFont="1" applyFill="1" applyBorder="1" applyAlignment="1">
      <alignment vertical="center"/>
    </xf>
    <xf numFmtId="196" fontId="10" fillId="34" borderId="10" xfId="0" applyNumberFormat="1" applyFont="1" applyFill="1" applyBorder="1" applyAlignment="1">
      <alignment horizontal="right" vertical="center"/>
    </xf>
    <xf numFmtId="0" fontId="0" fillId="34" borderId="0" xfId="0" applyFill="1" applyAlignment="1">
      <alignment horizontal="right"/>
    </xf>
    <xf numFmtId="0" fontId="2" fillId="34" borderId="10" xfId="0" applyFont="1" applyFill="1" applyBorder="1" applyAlignment="1">
      <alignment horizontal="left" vertical="center" wrapText="1"/>
    </xf>
    <xf numFmtId="0" fontId="0" fillId="34" borderId="0" xfId="0" applyFill="1" applyAlignment="1">
      <alignment horizontal="right" vertical="center"/>
    </xf>
    <xf numFmtId="0" fontId="10" fillId="34" borderId="10" xfId="0" applyFont="1" applyFill="1" applyBorder="1" applyAlignment="1">
      <alignment horizontal="left" vertical="center" wrapText="1"/>
    </xf>
    <xf numFmtId="196" fontId="0" fillId="34" borderId="0" xfId="0" applyNumberFormat="1" applyFill="1" applyAlignment="1">
      <alignment horizontal="right" vertical="center"/>
    </xf>
    <xf numFmtId="200" fontId="10" fillId="34" borderId="10" xfId="0" applyNumberFormat="1" applyFont="1" applyFill="1" applyBorder="1" applyAlignment="1">
      <alignment horizontal="center" shrinkToFit="1"/>
    </xf>
    <xf numFmtId="0" fontId="6" fillId="34" borderId="10" xfId="0" applyFont="1" applyFill="1" applyBorder="1" applyAlignment="1">
      <alignment/>
    </xf>
    <xf numFmtId="196" fontId="2" fillId="34" borderId="10" xfId="0" applyNumberFormat="1" applyFont="1" applyFill="1" applyBorder="1" applyAlignment="1">
      <alignment/>
    </xf>
    <xf numFmtId="200" fontId="2" fillId="34" borderId="10" xfId="0" applyNumberFormat="1" applyFont="1" applyFill="1" applyBorder="1" applyAlignment="1">
      <alignment/>
    </xf>
    <xf numFmtId="0" fontId="5" fillId="34" borderId="0" xfId="0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33" borderId="0" xfId="0" applyFont="1" applyFill="1" applyAlignment="1">
      <alignment horizontal="center"/>
    </xf>
    <xf numFmtId="0" fontId="15" fillId="33" borderId="0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1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70" t="s">
        <v>12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</row>
    <row r="2" spans="1:33" ht="22.5" customHeight="1">
      <c r="A2" s="171" t="s">
        <v>52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8</v>
      </c>
      <c r="H4" s="8">
        <v>9</v>
      </c>
      <c r="I4" s="8">
        <v>10</v>
      </c>
      <c r="J4" s="19">
        <v>11</v>
      </c>
      <c r="K4" s="8">
        <v>14</v>
      </c>
      <c r="L4" s="8">
        <v>15</v>
      </c>
      <c r="M4" s="19">
        <v>16</v>
      </c>
      <c r="N4" s="8">
        <v>17</v>
      </c>
      <c r="O4" s="8">
        <v>18</v>
      </c>
      <c r="P4" s="8">
        <v>21</v>
      </c>
      <c r="Q4" s="8">
        <v>22</v>
      </c>
      <c r="R4" s="8">
        <v>23</v>
      </c>
      <c r="S4" s="19">
        <v>24</v>
      </c>
      <c r="T4" s="19">
        <v>25</v>
      </c>
      <c r="U4" s="8">
        <v>28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40057.6</v>
      </c>
      <c r="C7" s="86">
        <v>901.1</v>
      </c>
      <c r="D7" s="37">
        <v>20028.8</v>
      </c>
      <c r="E7" s="38"/>
      <c r="F7" s="38"/>
      <c r="G7" s="38"/>
      <c r="H7" s="56"/>
      <c r="I7" s="38"/>
      <c r="J7" s="39"/>
      <c r="K7" s="38">
        <v>20028.8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1189.199999999997</v>
      </c>
      <c r="AF7" s="54"/>
      <c r="AG7" s="40"/>
    </row>
    <row r="8" spans="1:55" ht="18" customHeight="1">
      <c r="A8" s="47" t="s">
        <v>30</v>
      </c>
      <c r="B8" s="33">
        <f>SUM(E8:AB8)</f>
        <v>129768.79999999999</v>
      </c>
      <c r="C8" s="87">
        <v>26357.9</v>
      </c>
      <c r="D8" s="59"/>
      <c r="E8" s="60"/>
      <c r="F8" s="61">
        <v>4882.5</v>
      </c>
      <c r="G8" s="61">
        <v>15225.2</v>
      </c>
      <c r="H8" s="61">
        <v>5716.5</v>
      </c>
      <c r="I8" s="61">
        <v>7367.5</v>
      </c>
      <c r="J8" s="61">
        <v>3345</v>
      </c>
      <c r="K8" s="62">
        <v>2770.2</v>
      </c>
      <c r="L8" s="61">
        <v>4367.3</v>
      </c>
      <c r="M8" s="62">
        <v>7141.1</v>
      </c>
      <c r="N8" s="61">
        <v>7261.5</v>
      </c>
      <c r="O8" s="61">
        <v>4514.7</v>
      </c>
      <c r="P8" s="61">
        <v>10053.9</v>
      </c>
      <c r="Q8" s="61">
        <v>7543.8</v>
      </c>
      <c r="R8" s="61">
        <v>6898.7</v>
      </c>
      <c r="S8" s="63">
        <v>5306.8</v>
      </c>
      <c r="T8" s="63">
        <v>5386.2</v>
      </c>
      <c r="U8" s="61">
        <v>5894</v>
      </c>
      <c r="V8" s="61">
        <v>6479.3</v>
      </c>
      <c r="W8" s="61">
        <v>7145.2</v>
      </c>
      <c r="X8" s="62">
        <v>12469.4</v>
      </c>
      <c r="Y8" s="62"/>
      <c r="Z8" s="62"/>
      <c r="AA8" s="62"/>
      <c r="AB8" s="61"/>
      <c r="AC8" s="64"/>
      <c r="AD8" s="64"/>
      <c r="AE8" s="65">
        <f>SUM(E8:AD8)+C8-AF9+AF16+AF25</f>
        <v>81696.29999999997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162748.5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244</v>
      </c>
      <c r="H9" s="68">
        <f t="shared" si="0"/>
        <v>0</v>
      </c>
      <c r="I9" s="68">
        <f t="shared" si="0"/>
        <v>1930.7</v>
      </c>
      <c r="J9" s="68">
        <f t="shared" si="0"/>
        <v>2609.6</v>
      </c>
      <c r="K9" s="68">
        <f t="shared" si="0"/>
        <v>23429.700000000004</v>
      </c>
      <c r="L9" s="68">
        <f t="shared" si="0"/>
        <v>972.4000000000001</v>
      </c>
      <c r="M9" s="90">
        <f t="shared" si="0"/>
        <v>1482.9</v>
      </c>
      <c r="N9" s="68">
        <f t="shared" si="0"/>
        <v>9924.199999999999</v>
      </c>
      <c r="O9" s="68">
        <f t="shared" si="0"/>
        <v>2048.2</v>
      </c>
      <c r="P9" s="68">
        <f t="shared" si="0"/>
        <v>856.5</v>
      </c>
      <c r="Q9" s="68">
        <f t="shared" si="0"/>
        <v>1896.6000000000001</v>
      </c>
      <c r="R9" s="68">
        <f t="shared" si="0"/>
        <v>481.5</v>
      </c>
      <c r="S9" s="68">
        <f t="shared" si="0"/>
        <v>3099.3</v>
      </c>
      <c r="T9" s="68">
        <f t="shared" si="0"/>
        <v>708</v>
      </c>
      <c r="U9" s="68">
        <f t="shared" si="0"/>
        <v>6116.3</v>
      </c>
      <c r="V9" s="68">
        <f t="shared" si="0"/>
        <v>38816.00000000001</v>
      </c>
      <c r="W9" s="68">
        <f t="shared" si="0"/>
        <v>2627.9999999999995</v>
      </c>
      <c r="X9" s="68">
        <f t="shared" si="0"/>
        <v>16956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114199.90000000001</v>
      </c>
      <c r="AG9" s="69">
        <f>AG10+AG15+AG24+AG33+AG47+AG52+AG54+AG61+AG62+AG71+AG72+AG76+AG88+AG81+AG83+AG82+AG69+AG89+AG91+AG90+AG70+AG40+AG92</f>
        <v>48548.6</v>
      </c>
      <c r="AH9" s="41"/>
      <c r="AI9" s="41"/>
    </row>
    <row r="10" spans="1:33" ht="15.75">
      <c r="A10" s="4" t="s">
        <v>4</v>
      </c>
      <c r="B10" s="22">
        <v>17247.5</v>
      </c>
      <c r="C10" s="22"/>
      <c r="D10" s="67"/>
      <c r="E10" s="67"/>
      <c r="F10" s="67"/>
      <c r="G10" s="67">
        <v>244</v>
      </c>
      <c r="H10" s="67"/>
      <c r="I10" s="67">
        <v>43.9</v>
      </c>
      <c r="J10" s="70">
        <v>2457.4</v>
      </c>
      <c r="K10" s="67">
        <v>2707.4</v>
      </c>
      <c r="L10" s="67">
        <v>10.4</v>
      </c>
      <c r="M10" s="72">
        <v>33.4</v>
      </c>
      <c r="N10" s="67">
        <v>0.3</v>
      </c>
      <c r="O10" s="71">
        <v>26.7</v>
      </c>
      <c r="P10" s="67">
        <v>297</v>
      </c>
      <c r="Q10" s="67">
        <v>18</v>
      </c>
      <c r="R10" s="67">
        <v>13</v>
      </c>
      <c r="S10" s="72">
        <v>3</v>
      </c>
      <c r="T10" s="72">
        <v>6.2</v>
      </c>
      <c r="U10" s="72">
        <v>490.1</v>
      </c>
      <c r="V10" s="72">
        <v>6379.1</v>
      </c>
      <c r="W10" s="72">
        <v>2560.6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15290.500000000002</v>
      </c>
      <c r="AG10" s="72">
        <f>B10+C10-AF10</f>
        <v>1956.9999999999982</v>
      </c>
    </row>
    <row r="11" spans="1:33" ht="15.75">
      <c r="A11" s="3" t="s">
        <v>5</v>
      </c>
      <c r="B11" s="22">
        <v>16238</v>
      </c>
      <c r="C11" s="22"/>
      <c r="D11" s="67"/>
      <c r="E11" s="67"/>
      <c r="F11" s="67"/>
      <c r="G11" s="67">
        <v>244</v>
      </c>
      <c r="H11" s="67"/>
      <c r="I11" s="67"/>
      <c r="J11" s="72">
        <v>2447.7</v>
      </c>
      <c r="K11" s="67">
        <v>2707.4</v>
      </c>
      <c r="L11" s="67">
        <v>7.9</v>
      </c>
      <c r="M11" s="72">
        <v>32.8</v>
      </c>
      <c r="N11" s="67"/>
      <c r="O11" s="71"/>
      <c r="P11" s="67">
        <v>292</v>
      </c>
      <c r="Q11" s="67">
        <v>16</v>
      </c>
      <c r="R11" s="67">
        <v>4.4</v>
      </c>
      <c r="S11" s="72"/>
      <c r="T11" s="72"/>
      <c r="U11" s="72">
        <v>487.1</v>
      </c>
      <c r="V11" s="72">
        <v>6367.9</v>
      </c>
      <c r="W11" s="72">
        <v>2554.5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15161.7</v>
      </c>
      <c r="AG11" s="72">
        <f>B11+C11-AF11</f>
        <v>1076.2999999999993</v>
      </c>
    </row>
    <row r="12" spans="1:33" ht="15.75">
      <c r="A12" s="3" t="s">
        <v>2</v>
      </c>
      <c r="B12" s="29">
        <f>401.6+10.6</f>
        <v>412.20000000000005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72">
        <f>B12+C12-AF12</f>
        <v>412.20000000000005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597.3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43.9</v>
      </c>
      <c r="J14" s="67">
        <f t="shared" si="2"/>
        <v>9.700000000000273</v>
      </c>
      <c r="K14" s="67">
        <f t="shared" si="2"/>
        <v>0</v>
      </c>
      <c r="L14" s="67">
        <f t="shared" si="2"/>
        <v>2.5</v>
      </c>
      <c r="M14" s="72">
        <f t="shared" si="2"/>
        <v>0.6000000000000014</v>
      </c>
      <c r="N14" s="67">
        <f t="shared" si="2"/>
        <v>0.3</v>
      </c>
      <c r="O14" s="67">
        <f t="shared" si="2"/>
        <v>26.7</v>
      </c>
      <c r="P14" s="67">
        <f t="shared" si="2"/>
        <v>5</v>
      </c>
      <c r="Q14" s="67">
        <f t="shared" si="2"/>
        <v>2</v>
      </c>
      <c r="R14" s="67">
        <f t="shared" si="2"/>
        <v>8.6</v>
      </c>
      <c r="S14" s="67">
        <f t="shared" si="2"/>
        <v>3</v>
      </c>
      <c r="T14" s="67">
        <f t="shared" si="2"/>
        <v>6.2</v>
      </c>
      <c r="U14" s="67">
        <f t="shared" si="2"/>
        <v>3</v>
      </c>
      <c r="V14" s="67">
        <f t="shared" si="2"/>
        <v>11.200000000000728</v>
      </c>
      <c r="W14" s="67">
        <f t="shared" si="2"/>
        <v>6.099999999999909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128.80000000000092</v>
      </c>
      <c r="AG14" s="72">
        <f>AG10-AG11-AG12-AG13</f>
        <v>468.49999999999886</v>
      </c>
    </row>
    <row r="15" spans="1:33" ht="15" customHeight="1">
      <c r="A15" s="4" t="s">
        <v>6</v>
      </c>
      <c r="B15" s="22">
        <f>68805.8+1143.1</f>
        <v>69948.90000000001</v>
      </c>
      <c r="C15" s="22"/>
      <c r="D15" s="73"/>
      <c r="E15" s="73"/>
      <c r="F15" s="67"/>
      <c r="G15" s="67"/>
      <c r="H15" s="67"/>
      <c r="I15" s="67"/>
      <c r="J15" s="72"/>
      <c r="K15" s="67">
        <f>11099.2+9623.1</f>
        <v>20722.300000000003</v>
      </c>
      <c r="L15" s="67">
        <v>1.9</v>
      </c>
      <c r="M15" s="72"/>
      <c r="N15" s="67"/>
      <c r="O15" s="71">
        <v>134.7</v>
      </c>
      <c r="P15" s="67">
        <v>531.1</v>
      </c>
      <c r="Q15" s="71"/>
      <c r="R15" s="67">
        <v>44.4</v>
      </c>
      <c r="S15" s="72">
        <v>1464.8</v>
      </c>
      <c r="T15" s="72">
        <v>43.3</v>
      </c>
      <c r="U15" s="72">
        <v>356.7</v>
      </c>
      <c r="V15" s="72">
        <f>16648.5+1044.7</f>
        <v>17693.2</v>
      </c>
      <c r="W15" s="72">
        <v>22.2</v>
      </c>
      <c r="X15" s="67">
        <f>3005.5+12063.7</f>
        <v>15069.2</v>
      </c>
      <c r="Y15" s="72"/>
      <c r="Z15" s="72"/>
      <c r="AA15" s="72"/>
      <c r="AB15" s="67"/>
      <c r="AC15" s="67"/>
      <c r="AD15" s="67"/>
      <c r="AE15" s="67"/>
      <c r="AF15" s="71">
        <f t="shared" si="1"/>
        <v>56083.8</v>
      </c>
      <c r="AG15" s="72">
        <f aca="true" t="shared" si="3" ref="AG15:AG31">B15+C15-AF15</f>
        <v>13865.100000000006</v>
      </c>
    </row>
    <row r="16" spans="1:34" s="53" customFormat="1" ht="15" customHeight="1">
      <c r="A16" s="51" t="s">
        <v>38</v>
      </c>
      <c r="B16" s="52">
        <f>21876.5+1143.1</f>
        <v>23019.6</v>
      </c>
      <c r="C16" s="52"/>
      <c r="D16" s="74"/>
      <c r="E16" s="74"/>
      <c r="F16" s="75"/>
      <c r="G16" s="75"/>
      <c r="H16" s="75"/>
      <c r="I16" s="75"/>
      <c r="J16" s="76"/>
      <c r="K16" s="75">
        <v>9623.1</v>
      </c>
      <c r="L16" s="75"/>
      <c r="M16" s="76"/>
      <c r="N16" s="75"/>
      <c r="O16" s="77"/>
      <c r="P16" s="75"/>
      <c r="Q16" s="77"/>
      <c r="R16" s="75"/>
      <c r="S16" s="76"/>
      <c r="T16" s="76"/>
      <c r="U16" s="76"/>
      <c r="V16" s="76">
        <v>1044.7</v>
      </c>
      <c r="W16" s="76"/>
      <c r="X16" s="75">
        <v>12063.7</v>
      </c>
      <c r="Y16" s="76"/>
      <c r="Z16" s="76"/>
      <c r="AA16" s="76"/>
      <c r="AB16" s="75"/>
      <c r="AC16" s="75"/>
      <c r="AD16" s="75"/>
      <c r="AE16" s="75"/>
      <c r="AF16" s="78">
        <f t="shared" si="1"/>
        <v>22731.5</v>
      </c>
      <c r="AG16" s="88">
        <f t="shared" si="3"/>
        <v>288.09999999999854</v>
      </c>
      <c r="AH16" s="57"/>
    </row>
    <row r="17" spans="1:34" ht="15.75">
      <c r="A17" s="3" t="s">
        <v>5</v>
      </c>
      <c r="B17" s="22">
        <f>55274+1143.1+2.4</f>
        <v>56419.5</v>
      </c>
      <c r="C17" s="22"/>
      <c r="D17" s="67"/>
      <c r="E17" s="67"/>
      <c r="F17" s="67"/>
      <c r="G17" s="67"/>
      <c r="H17" s="67"/>
      <c r="I17" s="67"/>
      <c r="J17" s="72"/>
      <c r="K17" s="67">
        <f>20722.3</f>
        <v>20722.3</v>
      </c>
      <c r="L17" s="67">
        <v>1.9</v>
      </c>
      <c r="M17" s="72"/>
      <c r="N17" s="67"/>
      <c r="O17" s="71"/>
      <c r="P17" s="67"/>
      <c r="Q17" s="71"/>
      <c r="R17" s="67"/>
      <c r="S17" s="72"/>
      <c r="T17" s="72"/>
      <c r="U17" s="72"/>
      <c r="V17" s="72">
        <f>16592.9+1044.7</f>
        <v>17637.600000000002</v>
      </c>
      <c r="W17" s="72"/>
      <c r="X17" s="67">
        <v>15069.2</v>
      </c>
      <c r="Y17" s="72"/>
      <c r="Z17" s="72"/>
      <c r="AA17" s="72"/>
      <c r="AB17" s="67"/>
      <c r="AC17" s="67"/>
      <c r="AD17" s="67"/>
      <c r="AE17" s="67"/>
      <c r="AF17" s="71">
        <f t="shared" si="1"/>
        <v>53431</v>
      </c>
      <c r="AG17" s="72">
        <f t="shared" si="3"/>
        <v>2988.5</v>
      </c>
      <c r="AH17" s="6"/>
    </row>
    <row r="18" spans="1:33" ht="15.75" hidden="1">
      <c r="A18" s="3" t="s">
        <v>3</v>
      </c>
      <c r="B18" s="22"/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0</v>
      </c>
    </row>
    <row r="19" spans="1:33" ht="15.75">
      <c r="A19" s="3" t="s">
        <v>1</v>
      </c>
      <c r="B19" s="22">
        <v>4200.6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72"/>
      <c r="N19" s="67"/>
      <c r="O19" s="71"/>
      <c r="P19" s="67">
        <v>525.8</v>
      </c>
      <c r="Q19" s="71"/>
      <c r="R19" s="67">
        <v>44.4</v>
      </c>
      <c r="S19" s="72">
        <v>601.2</v>
      </c>
      <c r="T19" s="72">
        <v>43.3</v>
      </c>
      <c r="U19" s="72">
        <v>356.4</v>
      </c>
      <c r="V19" s="72">
        <v>55.6</v>
      </c>
      <c r="W19" s="72">
        <v>22.2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1648.8999999999999</v>
      </c>
      <c r="AG19" s="72">
        <f t="shared" si="3"/>
        <v>2551.7000000000007</v>
      </c>
    </row>
    <row r="20" spans="1:33" ht="15.75">
      <c r="A20" s="3" t="s">
        <v>2</v>
      </c>
      <c r="B20" s="22">
        <v>8061.6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72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72">
        <f t="shared" si="3"/>
        <v>8061.6</v>
      </c>
    </row>
    <row r="21" spans="1:33" ht="15.75">
      <c r="A21" s="3" t="s">
        <v>16</v>
      </c>
      <c r="B21" s="22">
        <v>1047.3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72"/>
      <c r="N21" s="67"/>
      <c r="O21" s="71">
        <v>134.7</v>
      </c>
      <c r="P21" s="67"/>
      <c r="Q21" s="71"/>
      <c r="R21" s="67"/>
      <c r="S21" s="72">
        <v>863.6</v>
      </c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998.3</v>
      </c>
      <c r="AG21" s="72">
        <f t="shared" si="3"/>
        <v>49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219.90000000000805</v>
      </c>
      <c r="C23" s="22">
        <f aca="true" t="shared" si="4" ref="C23:AD23">C15-C17-C18-C19-C20-C21-C22</f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3.637978807091713E-12</v>
      </c>
      <c r="L23" s="67">
        <f t="shared" si="4"/>
        <v>0</v>
      </c>
      <c r="M23" s="72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5.300000000000068</v>
      </c>
      <c r="Q23" s="67">
        <f t="shared" si="4"/>
        <v>0</v>
      </c>
      <c r="R23" s="67">
        <f t="shared" si="4"/>
        <v>0</v>
      </c>
      <c r="S23" s="67">
        <f t="shared" si="4"/>
        <v>-1.1368683772161603E-13</v>
      </c>
      <c r="T23" s="67">
        <f t="shared" si="4"/>
        <v>0</v>
      </c>
      <c r="U23" s="67">
        <f t="shared" si="4"/>
        <v>0.30000000000001137</v>
      </c>
      <c r="V23" s="67">
        <f t="shared" si="4"/>
        <v>-1.4566126083082054E-12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5.600000000002147</v>
      </c>
      <c r="AG23" s="72">
        <f t="shared" si="3"/>
        <v>214.3000000000059</v>
      </c>
    </row>
    <row r="24" spans="1:33" ht="15" customHeight="1">
      <c r="A24" s="4" t="s">
        <v>7</v>
      </c>
      <c r="B24" s="22">
        <f>33979.7-1938</f>
        <v>32041.699999999997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72"/>
      <c r="N24" s="67">
        <v>9880.4</v>
      </c>
      <c r="O24" s="71"/>
      <c r="P24" s="67"/>
      <c r="Q24" s="71"/>
      <c r="R24" s="71"/>
      <c r="S24" s="72"/>
      <c r="T24" s="72"/>
      <c r="U24" s="72">
        <v>236.6</v>
      </c>
      <c r="V24" s="72">
        <f>6978.3+6921</f>
        <v>13899.3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24016.3</v>
      </c>
      <c r="AG24" s="72">
        <f t="shared" si="3"/>
        <v>8025.399999999998</v>
      </c>
    </row>
    <row r="25" spans="1:34" s="53" customFormat="1" ht="15" customHeight="1">
      <c r="A25" s="51" t="s">
        <v>39</v>
      </c>
      <c r="B25" s="52">
        <f>18976-1938</f>
        <v>17038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6"/>
      <c r="N25" s="75">
        <v>9880.4</v>
      </c>
      <c r="O25" s="77"/>
      <c r="P25" s="75"/>
      <c r="Q25" s="77"/>
      <c r="R25" s="77"/>
      <c r="S25" s="76"/>
      <c r="T25" s="76"/>
      <c r="U25" s="76">
        <v>236.6</v>
      </c>
      <c r="V25" s="76">
        <v>6921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17038</v>
      </c>
      <c r="AG25" s="88">
        <f t="shared" si="3"/>
        <v>0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83.3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31958.399999999998</v>
      </c>
      <c r="C32" s="22">
        <f>C24-C26-C27-C28-C29-C30-C31</f>
        <v>0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0</v>
      </c>
      <c r="N32" s="67">
        <f t="shared" si="5"/>
        <v>9880.4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236.6</v>
      </c>
      <c r="V32" s="67">
        <f t="shared" si="5"/>
        <v>13899.3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24016.3</v>
      </c>
      <c r="AG32" s="72">
        <f>AG24-AG30</f>
        <v>7942.099999999998</v>
      </c>
    </row>
    <row r="33" spans="1:33" ht="15" customHeight="1">
      <c r="A33" s="4" t="s">
        <v>8</v>
      </c>
      <c r="B33" s="22">
        <v>746.8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72">
        <f>80.6</f>
        <v>80.6</v>
      </c>
      <c r="N33" s="67"/>
      <c r="O33" s="71"/>
      <c r="P33" s="67"/>
      <c r="Q33" s="71"/>
      <c r="R33" s="67"/>
      <c r="S33" s="72"/>
      <c r="T33" s="72"/>
      <c r="U33" s="72">
        <v>106</v>
      </c>
      <c r="V33" s="72">
        <v>88.7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275.3</v>
      </c>
      <c r="AG33" s="72">
        <f aca="true" t="shared" si="6" ref="AG33:AG38">B33+C33-AF33</f>
        <v>471.49999999999994</v>
      </c>
    </row>
    <row r="34" spans="1:33" ht="15.75">
      <c r="A34" s="3" t="s">
        <v>5</v>
      </c>
      <c r="B34" s="22">
        <v>310.2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72">
        <v>80.6</v>
      </c>
      <c r="N34" s="67"/>
      <c r="O34" s="67"/>
      <c r="P34" s="67"/>
      <c r="Q34" s="71"/>
      <c r="R34" s="67"/>
      <c r="S34" s="72"/>
      <c r="T34" s="72"/>
      <c r="U34" s="72">
        <v>106</v>
      </c>
      <c r="V34" s="72">
        <v>88.7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275.3</v>
      </c>
      <c r="AG34" s="72">
        <f t="shared" si="6"/>
        <v>34.89999999999998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114.1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2">
        <f t="shared" si="6"/>
        <v>114.1</v>
      </c>
    </row>
    <row r="37" spans="1:33" ht="15.75" hidden="1">
      <c r="A37" s="3" t="s">
        <v>16</v>
      </c>
      <c r="B37" s="22"/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322.5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2">
        <f>AG33-AG34-AG36-AG38-AG35-AG37</f>
        <v>322.5</v>
      </c>
    </row>
    <row r="40" spans="1:33" ht="15" customHeight="1">
      <c r="A40" s="4" t="s">
        <v>29</v>
      </c>
      <c r="B40" s="22">
        <v>1131.4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72">
        <v>346.4</v>
      </c>
      <c r="N40" s="67"/>
      <c r="O40" s="71"/>
      <c r="P40" s="67"/>
      <c r="Q40" s="71"/>
      <c r="R40" s="71"/>
      <c r="S40" s="72"/>
      <c r="T40" s="72"/>
      <c r="U40" s="72">
        <v>682.5</v>
      </c>
      <c r="V40" s="72"/>
      <c r="W40" s="72">
        <v>14.1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1043</v>
      </c>
      <c r="AG40" s="72">
        <f aca="true" t="shared" si="8" ref="AG40:AG45">B40+C40-AF40</f>
        <v>88.40000000000009</v>
      </c>
    </row>
    <row r="41" spans="1:34" ht="15.75">
      <c r="A41" s="3" t="s">
        <v>5</v>
      </c>
      <c r="B41" s="22">
        <v>985.4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72">
        <v>332.5</v>
      </c>
      <c r="N41" s="67"/>
      <c r="O41" s="71"/>
      <c r="P41" s="67"/>
      <c r="Q41" s="67"/>
      <c r="R41" s="67"/>
      <c r="S41" s="72"/>
      <c r="T41" s="72"/>
      <c r="U41" s="72">
        <v>633.1</v>
      </c>
      <c r="V41" s="72"/>
      <c r="W41" s="72">
        <v>14.1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979.7</v>
      </c>
      <c r="AG41" s="72">
        <f t="shared" si="8"/>
        <v>5.699999999999932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2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2">
        <f t="shared" si="8"/>
        <v>0</v>
      </c>
    </row>
    <row r="44" spans="1:33" ht="15.75">
      <c r="A44" s="3" t="s">
        <v>2</v>
      </c>
      <c r="B44" s="22">
        <v>135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72">
        <v>13.9</v>
      </c>
      <c r="N44" s="67"/>
      <c r="O44" s="71"/>
      <c r="P44" s="67"/>
      <c r="Q44" s="67"/>
      <c r="R44" s="67"/>
      <c r="S44" s="72"/>
      <c r="T44" s="72"/>
      <c r="U44" s="72">
        <v>43.7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57.6</v>
      </c>
      <c r="AG44" s="72">
        <f t="shared" si="8"/>
        <v>77.4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11.000000000000114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72">
        <f t="shared" si="10"/>
        <v>-2.3092638912203256E-14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5.699999999999974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5.699999999999951</v>
      </c>
      <c r="AG46" s="72">
        <f>AG40-AG41-AG42-AG43-AG44-AG45</f>
        <v>5.3000000000001535</v>
      </c>
    </row>
    <row r="47" spans="1:33" ht="17.25" customHeight="1">
      <c r="A47" s="4" t="s">
        <v>43</v>
      </c>
      <c r="B47" s="29">
        <v>4773.3</v>
      </c>
      <c r="C47" s="22"/>
      <c r="D47" s="67"/>
      <c r="E47" s="79"/>
      <c r="F47" s="79"/>
      <c r="G47" s="79"/>
      <c r="H47" s="79"/>
      <c r="I47" s="79"/>
      <c r="J47" s="80">
        <v>152.2</v>
      </c>
      <c r="K47" s="79"/>
      <c r="L47" s="79"/>
      <c r="M47" s="80"/>
      <c r="N47" s="79"/>
      <c r="O47" s="81"/>
      <c r="P47" s="79">
        <v>12.4</v>
      </c>
      <c r="Q47" s="79">
        <v>164.7</v>
      </c>
      <c r="R47" s="79">
        <v>14</v>
      </c>
      <c r="S47" s="80">
        <v>1585.4</v>
      </c>
      <c r="T47" s="80"/>
      <c r="U47" s="79"/>
      <c r="V47" s="79"/>
      <c r="W47" s="79">
        <v>13.1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1941.8</v>
      </c>
      <c r="AG47" s="72">
        <f>B47+C47-AF47</f>
        <v>2831.5</v>
      </c>
    </row>
    <row r="48" spans="1:33" ht="15.75" hidden="1">
      <c r="A48" s="3" t="s">
        <v>5</v>
      </c>
      <c r="B48" s="22"/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2">
        <f>B48+C48-AF48</f>
        <v>0</v>
      </c>
    </row>
    <row r="49" spans="1:33" ht="15.75">
      <c r="A49" s="3" t="s">
        <v>16</v>
      </c>
      <c r="B49" s="22">
        <v>4666.7</v>
      </c>
      <c r="C49" s="22"/>
      <c r="D49" s="67"/>
      <c r="E49" s="67"/>
      <c r="F49" s="67"/>
      <c r="G49" s="67"/>
      <c r="H49" s="67"/>
      <c r="I49" s="67"/>
      <c r="J49" s="72">
        <v>152.1</v>
      </c>
      <c r="K49" s="67"/>
      <c r="L49" s="67"/>
      <c r="M49" s="72"/>
      <c r="N49" s="67"/>
      <c r="O49" s="71"/>
      <c r="P49" s="67">
        <v>12.4</v>
      </c>
      <c r="Q49" s="67">
        <v>164.7</v>
      </c>
      <c r="R49" s="67">
        <v>14</v>
      </c>
      <c r="S49" s="72">
        <v>1585.4</v>
      </c>
      <c r="T49" s="72"/>
      <c r="U49" s="67"/>
      <c r="V49" s="67"/>
      <c r="W49" s="67">
        <v>8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1936.6000000000001</v>
      </c>
      <c r="AG49" s="72">
        <f>B49+C49-AF49</f>
        <v>2730.0999999999995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1" ref="B51:AD51">B47-B48-B49</f>
        <v>106.60000000000036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0.09999999999999432</v>
      </c>
      <c r="K51" s="67">
        <f t="shared" si="11"/>
        <v>0</v>
      </c>
      <c r="L51" s="67">
        <f t="shared" si="11"/>
        <v>0</v>
      </c>
      <c r="M51" s="72">
        <f t="shared" si="11"/>
        <v>0</v>
      </c>
      <c r="N51" s="67">
        <f t="shared" si="11"/>
        <v>0</v>
      </c>
      <c r="O51" s="67">
        <f t="shared" si="11"/>
        <v>0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5.1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5.199999999999994</v>
      </c>
      <c r="AG51" s="72">
        <f>AG47-AG49-AG48</f>
        <v>101.40000000000055</v>
      </c>
    </row>
    <row r="52" spans="1:33" ht="15" customHeight="1">
      <c r="A52" s="4" t="s">
        <v>0</v>
      </c>
      <c r="B52" s="22">
        <f>5598.5-194.4</f>
        <v>5404.1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72">
        <v>550.6</v>
      </c>
      <c r="N52" s="67"/>
      <c r="O52" s="71"/>
      <c r="P52" s="67">
        <v>16</v>
      </c>
      <c r="Q52" s="67">
        <v>384.3</v>
      </c>
      <c r="R52" s="67"/>
      <c r="S52" s="72"/>
      <c r="T52" s="72">
        <v>525.5</v>
      </c>
      <c r="U52" s="72"/>
      <c r="V52" s="72">
        <v>369.8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1846.2</v>
      </c>
      <c r="AG52" s="72">
        <f aca="true" t="shared" si="12" ref="AG52:AG59">B52+C52-AF52</f>
        <v>3557.9000000000005</v>
      </c>
    </row>
    <row r="53" spans="1:33" ht="15" customHeight="1">
      <c r="A53" s="3" t="s">
        <v>2</v>
      </c>
      <c r="B53" s="22">
        <v>1290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>
        <v>101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101</v>
      </c>
      <c r="AG53" s="72">
        <f t="shared" si="12"/>
        <v>1189</v>
      </c>
    </row>
    <row r="54" spans="1:34" ht="15" customHeight="1">
      <c r="A54" s="4" t="s">
        <v>9</v>
      </c>
      <c r="B54" s="36">
        <v>2072.5</v>
      </c>
      <c r="C54" s="22"/>
      <c r="D54" s="67"/>
      <c r="E54" s="67"/>
      <c r="F54" s="67"/>
      <c r="G54" s="67"/>
      <c r="H54" s="67"/>
      <c r="I54" s="67"/>
      <c r="J54" s="72"/>
      <c r="K54" s="67"/>
      <c r="L54" s="67">
        <v>238.4</v>
      </c>
      <c r="M54" s="72">
        <v>293</v>
      </c>
      <c r="N54" s="67">
        <v>43.5</v>
      </c>
      <c r="O54" s="71"/>
      <c r="P54" s="67"/>
      <c r="Q54" s="71"/>
      <c r="R54" s="67">
        <v>2</v>
      </c>
      <c r="S54" s="72">
        <v>39.3</v>
      </c>
      <c r="T54" s="72"/>
      <c r="U54" s="72">
        <v>520.9</v>
      </c>
      <c r="V54" s="72">
        <v>174.4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1311.5</v>
      </c>
      <c r="AG54" s="72">
        <f t="shared" si="12"/>
        <v>761</v>
      </c>
      <c r="AH54" s="6"/>
    </row>
    <row r="55" spans="1:34" ht="15.75">
      <c r="A55" s="3" t="s">
        <v>5</v>
      </c>
      <c r="B55" s="22">
        <v>1059.1</v>
      </c>
      <c r="C55" s="22"/>
      <c r="D55" s="67"/>
      <c r="E55" s="67"/>
      <c r="F55" s="67"/>
      <c r="G55" s="67"/>
      <c r="H55" s="67"/>
      <c r="I55" s="67"/>
      <c r="J55" s="72"/>
      <c r="K55" s="67"/>
      <c r="L55" s="67">
        <v>95.5</v>
      </c>
      <c r="M55" s="72">
        <v>254.3</v>
      </c>
      <c r="N55" s="67"/>
      <c r="O55" s="71"/>
      <c r="P55" s="67"/>
      <c r="Q55" s="71"/>
      <c r="R55" s="67"/>
      <c r="S55" s="72"/>
      <c r="T55" s="72"/>
      <c r="U55" s="72">
        <v>520.9</v>
      </c>
      <c r="V55" s="72">
        <v>145.6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1016.3000000000001</v>
      </c>
      <c r="AG55" s="72">
        <f t="shared" si="12"/>
        <v>42.79999999999984</v>
      </c>
      <c r="AH55" s="6"/>
    </row>
    <row r="56" spans="1:34" ht="15" customHeight="1">
      <c r="A56" s="3" t="s">
        <v>1</v>
      </c>
      <c r="B56" s="22">
        <f>10+2</f>
        <v>12</v>
      </c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72">
        <v>10</v>
      </c>
      <c r="N56" s="67"/>
      <c r="O56" s="71"/>
      <c r="P56" s="67"/>
      <c r="Q56" s="71"/>
      <c r="R56" s="67">
        <v>2</v>
      </c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12</v>
      </c>
      <c r="AG56" s="72">
        <f t="shared" si="12"/>
        <v>0</v>
      </c>
      <c r="AH56" s="6"/>
    </row>
    <row r="57" spans="1:33" ht="15.75">
      <c r="A57" s="3" t="s">
        <v>2</v>
      </c>
      <c r="B57" s="29">
        <v>166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</v>
      </c>
      <c r="AG57" s="72">
        <f t="shared" si="12"/>
        <v>166</v>
      </c>
    </row>
    <row r="58" spans="1:33" ht="15.75">
      <c r="A58" s="3" t="s">
        <v>16</v>
      </c>
      <c r="B58" s="29">
        <v>17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>
        <v>5.1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72">
        <f t="shared" si="12"/>
        <v>11.9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7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818.4000000000001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142.9</v>
      </c>
      <c r="M60" s="72">
        <f t="shared" si="13"/>
        <v>28.69999999999999</v>
      </c>
      <c r="N60" s="67">
        <f t="shared" si="13"/>
        <v>43.5</v>
      </c>
      <c r="O60" s="67">
        <f t="shared" si="13"/>
        <v>0</v>
      </c>
      <c r="P60" s="67">
        <f t="shared" si="13"/>
        <v>0</v>
      </c>
      <c r="Q60" s="67">
        <f t="shared" si="13"/>
        <v>0</v>
      </c>
      <c r="R60" s="67">
        <f t="shared" si="13"/>
        <v>0</v>
      </c>
      <c r="S60" s="67">
        <f t="shared" si="13"/>
        <v>39.3</v>
      </c>
      <c r="T60" s="67">
        <f t="shared" si="13"/>
        <v>0</v>
      </c>
      <c r="U60" s="67">
        <f t="shared" si="13"/>
        <v>0</v>
      </c>
      <c r="V60" s="67">
        <f t="shared" si="13"/>
        <v>23.70000000000001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278.0999999999999</v>
      </c>
      <c r="AG60" s="72">
        <f>AG54-AG55-AG57-AG59-AG56-AG58</f>
        <v>540.3000000000002</v>
      </c>
    </row>
    <row r="61" spans="1:33" ht="15" customHeight="1">
      <c r="A61" s="4" t="s">
        <v>10</v>
      </c>
      <c r="B61" s="22">
        <v>51.5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>
        <v>18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18</v>
      </c>
      <c r="AG61" s="72">
        <f aca="true" t="shared" si="15" ref="AG61:AG67">B61+C61-AF61</f>
        <v>33.5</v>
      </c>
    </row>
    <row r="62" spans="1:33" ht="15" customHeight="1">
      <c r="A62" s="4" t="s">
        <v>11</v>
      </c>
      <c r="B62" s="22">
        <v>3166.2</v>
      </c>
      <c r="C62" s="22"/>
      <c r="D62" s="67"/>
      <c r="E62" s="67"/>
      <c r="F62" s="67"/>
      <c r="G62" s="67"/>
      <c r="H62" s="67"/>
      <c r="I62" s="67"/>
      <c r="J62" s="72"/>
      <c r="K62" s="67"/>
      <c r="L62" s="67">
        <v>721.7</v>
      </c>
      <c r="M62" s="72">
        <v>145.3</v>
      </c>
      <c r="N62" s="67"/>
      <c r="O62" s="71"/>
      <c r="P62" s="67"/>
      <c r="Q62" s="71"/>
      <c r="R62" s="67"/>
      <c r="S62" s="72">
        <v>5</v>
      </c>
      <c r="T62" s="72">
        <v>112.8</v>
      </c>
      <c r="U62" s="72">
        <v>1132.7</v>
      </c>
      <c r="V62" s="72">
        <v>7.6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2125.1</v>
      </c>
      <c r="AG62" s="72">
        <f t="shared" si="15"/>
        <v>1041.1</v>
      </c>
    </row>
    <row r="63" spans="1:34" ht="15.75">
      <c r="A63" s="3" t="s">
        <v>5</v>
      </c>
      <c r="B63" s="22">
        <v>1796.3</v>
      </c>
      <c r="C63" s="22"/>
      <c r="D63" s="67"/>
      <c r="E63" s="67"/>
      <c r="F63" s="67"/>
      <c r="G63" s="67"/>
      <c r="H63" s="67"/>
      <c r="I63" s="67"/>
      <c r="J63" s="72"/>
      <c r="K63" s="67"/>
      <c r="L63" s="67">
        <v>721.7</v>
      </c>
      <c r="M63" s="72"/>
      <c r="N63" s="67"/>
      <c r="O63" s="71"/>
      <c r="P63" s="67"/>
      <c r="Q63" s="71"/>
      <c r="R63" s="67"/>
      <c r="S63" s="72"/>
      <c r="T63" s="72"/>
      <c r="U63" s="72">
        <v>980.4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1702.1</v>
      </c>
      <c r="AG63" s="72">
        <f t="shared" si="15"/>
        <v>94.20000000000005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72">
        <f t="shared" si="15"/>
        <v>0</v>
      </c>
      <c r="AH64" s="6"/>
    </row>
    <row r="65" spans="1:34" ht="15.75">
      <c r="A65" s="3" t="s">
        <v>1</v>
      </c>
      <c r="B65" s="22">
        <v>86.4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72"/>
      <c r="N65" s="67"/>
      <c r="O65" s="71"/>
      <c r="P65" s="67"/>
      <c r="Q65" s="71"/>
      <c r="R65" s="67"/>
      <c r="S65" s="72"/>
      <c r="T65" s="72"/>
      <c r="U65" s="72">
        <v>3.2</v>
      </c>
      <c r="V65" s="72">
        <v>7.6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10.8</v>
      </c>
      <c r="AG65" s="72">
        <f t="shared" si="15"/>
        <v>75.60000000000001</v>
      </c>
      <c r="AH65" s="6"/>
    </row>
    <row r="66" spans="1:33" ht="15.75">
      <c r="A66" s="3" t="s">
        <v>2</v>
      </c>
      <c r="B66" s="22">
        <v>169.3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</v>
      </c>
      <c r="AG66" s="72">
        <f t="shared" si="15"/>
        <v>169.3</v>
      </c>
    </row>
    <row r="67" spans="1:33" ht="15.75">
      <c r="A67" s="3" t="s">
        <v>16</v>
      </c>
      <c r="B67" s="22">
        <v>290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72">
        <f t="shared" si="15"/>
        <v>290</v>
      </c>
    </row>
    <row r="68" spans="1:33" ht="15.75">
      <c r="A68" s="3" t="s">
        <v>23</v>
      </c>
      <c r="B68" s="22">
        <f aca="true" t="shared" si="16" ref="B68:AD68">B62-B63-B66-B67-B65-B64</f>
        <v>824.1999999999999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72">
        <f t="shared" si="16"/>
        <v>145.3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5</v>
      </c>
      <c r="T68" s="67">
        <f t="shared" si="16"/>
        <v>112.8</v>
      </c>
      <c r="U68" s="67">
        <f t="shared" si="16"/>
        <v>149.10000000000008</v>
      </c>
      <c r="V68" s="67">
        <f t="shared" si="16"/>
        <v>0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412.2000000000001</v>
      </c>
      <c r="AG68" s="72">
        <f>AG62-AG63-AG66-AG67-AG65-AG64</f>
        <v>411.9999999999999</v>
      </c>
    </row>
    <row r="69" spans="1:33" ht="31.5">
      <c r="A69" s="4" t="s">
        <v>45</v>
      </c>
      <c r="B69" s="22">
        <f>1087.6+194.4</f>
        <v>1282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72"/>
      <c r="N69" s="67"/>
      <c r="O69" s="67"/>
      <c r="P69" s="67"/>
      <c r="Q69" s="67">
        <v>871.9</v>
      </c>
      <c r="R69" s="67">
        <v>408.1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1280</v>
      </c>
      <c r="AG69" s="89">
        <f aca="true" t="shared" si="17" ref="AG69:AG92">B69+C69-AF69</f>
        <v>2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9">
        <f t="shared" si="17"/>
        <v>0</v>
      </c>
    </row>
    <row r="71" spans="1:50" ht="31.5">
      <c r="A71" s="4" t="s">
        <v>46</v>
      </c>
      <c r="B71" s="22"/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9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1101.3</f>
        <v>1101.3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72"/>
      <c r="N72" s="67"/>
      <c r="O72" s="67"/>
      <c r="P72" s="67"/>
      <c r="Q72" s="71"/>
      <c r="R72" s="67"/>
      <c r="S72" s="72">
        <v>1.8</v>
      </c>
      <c r="T72" s="72"/>
      <c r="U72" s="72">
        <v>195.4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197.20000000000002</v>
      </c>
      <c r="AG72" s="89">
        <f t="shared" si="17"/>
        <v>904.0999999999999</v>
      </c>
    </row>
    <row r="73" spans="1:33" ht="15" customHeight="1">
      <c r="A73" s="3" t="s">
        <v>5</v>
      </c>
      <c r="B73" s="22">
        <v>40.7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9">
        <f t="shared" si="17"/>
        <v>40.7</v>
      </c>
    </row>
    <row r="74" spans="1:33" ht="15" customHeight="1">
      <c r="A74" s="3" t="s">
        <v>2</v>
      </c>
      <c r="B74" s="22">
        <f>49.6+233.5</f>
        <v>283.1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72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9">
        <f t="shared" si="17"/>
        <v>283.1</v>
      </c>
    </row>
    <row r="75" spans="1:33" ht="15" customHeight="1">
      <c r="A75" s="3" t="s">
        <v>16</v>
      </c>
      <c r="B75" s="22">
        <f>8+9.1</f>
        <v>17.1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7.7</v>
      </c>
      <c r="AG75" s="89">
        <f t="shared" si="17"/>
        <v>9.400000000000002</v>
      </c>
    </row>
    <row r="76" spans="1:33" s="11" customFormat="1" ht="15.75">
      <c r="A76" s="12" t="s">
        <v>48</v>
      </c>
      <c r="B76" s="22">
        <v>146.7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80">
        <v>33.6</v>
      </c>
      <c r="N76" s="79"/>
      <c r="O76" s="79"/>
      <c r="P76" s="79"/>
      <c r="Q76" s="81"/>
      <c r="R76" s="79"/>
      <c r="S76" s="80"/>
      <c r="T76" s="80"/>
      <c r="U76" s="79"/>
      <c r="V76" s="79">
        <v>100.1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133.7</v>
      </c>
      <c r="AG76" s="89">
        <f t="shared" si="17"/>
        <v>13</v>
      </c>
    </row>
    <row r="77" spans="1:33" s="11" customFormat="1" ht="15.75">
      <c r="A77" s="3" t="s">
        <v>5</v>
      </c>
      <c r="B77" s="22">
        <v>134.5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80">
        <v>33.6</v>
      </c>
      <c r="N77" s="79"/>
      <c r="O77" s="79"/>
      <c r="P77" s="79"/>
      <c r="Q77" s="81"/>
      <c r="R77" s="79"/>
      <c r="S77" s="80"/>
      <c r="T77" s="80"/>
      <c r="U77" s="79"/>
      <c r="V77" s="79">
        <v>99.1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132.7</v>
      </c>
      <c r="AG77" s="89">
        <f t="shared" si="17"/>
        <v>1.8000000000000114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9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9">
        <f t="shared" si="17"/>
        <v>0</v>
      </c>
    </row>
    <row r="80" spans="1:33" s="11" customFormat="1" ht="15.75">
      <c r="A80" s="3" t="s">
        <v>2</v>
      </c>
      <c r="B80" s="22">
        <v>9.1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</v>
      </c>
      <c r="AG80" s="89">
        <f t="shared" si="17"/>
        <v>9.1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9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9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4"/>
        <v>0</v>
      </c>
      <c r="AG83" s="72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72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72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72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72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72">
        <f t="shared" si="17"/>
        <v>0</v>
      </c>
      <c r="AH88" s="11"/>
    </row>
    <row r="89" spans="1:35" ht="15.75">
      <c r="A89" s="4" t="s">
        <v>50</v>
      </c>
      <c r="B89" s="22">
        <v>8064.3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72"/>
      <c r="N89" s="67"/>
      <c r="O89" s="67"/>
      <c r="P89" s="67"/>
      <c r="Q89" s="67">
        <v>457.7</v>
      </c>
      <c r="R89" s="67"/>
      <c r="S89" s="72"/>
      <c r="T89" s="72">
        <v>20.2</v>
      </c>
      <c r="U89" s="67">
        <v>2395.4</v>
      </c>
      <c r="V89" s="67">
        <v>103.8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2977.1000000000004</v>
      </c>
      <c r="AG89" s="72">
        <f t="shared" si="17"/>
        <v>5087.2</v>
      </c>
      <c r="AH89" s="11"/>
      <c r="AI89" s="85"/>
    </row>
    <row r="90" spans="1:34" ht="15.75">
      <c r="A90" s="4" t="s">
        <v>51</v>
      </c>
      <c r="B90" s="22">
        <f>3519.3+2140.7+0.4</f>
        <v>5660.4</v>
      </c>
      <c r="C90" s="22"/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>
        <v>1886.8</v>
      </c>
      <c r="P90" s="67"/>
      <c r="Q90" s="67"/>
      <c r="R90" s="67"/>
      <c r="S90" s="72"/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4"/>
        <v>5660.4</v>
      </c>
      <c r="AG90" s="72">
        <f t="shared" si="17"/>
        <v>0</v>
      </c>
      <c r="AH90" s="11"/>
    </row>
    <row r="91" spans="1:34" ht="15.75">
      <c r="A91" s="4" t="s">
        <v>25</v>
      </c>
      <c r="B91" s="22">
        <f>208.3-0.4</f>
        <v>207.9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72">
        <f t="shared" si="17"/>
        <v>207.9</v>
      </c>
      <c r="AH91" s="11"/>
    </row>
    <row r="92" spans="1:34" ht="15.75">
      <c r="A92" s="4" t="s">
        <v>37</v>
      </c>
      <c r="B92" s="22">
        <v>9702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72">
        <f t="shared" si="17"/>
        <v>9702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162748.5</v>
      </c>
      <c r="C94" s="35">
        <f t="shared" si="18"/>
        <v>0</v>
      </c>
      <c r="D94" s="82">
        <f t="shared" si="18"/>
        <v>0</v>
      </c>
      <c r="E94" s="82">
        <f t="shared" si="18"/>
        <v>0</v>
      </c>
      <c r="F94" s="82">
        <f t="shared" si="18"/>
        <v>0</v>
      </c>
      <c r="G94" s="82">
        <f t="shared" si="18"/>
        <v>244</v>
      </c>
      <c r="H94" s="82">
        <f t="shared" si="18"/>
        <v>0</v>
      </c>
      <c r="I94" s="82">
        <f t="shared" si="18"/>
        <v>1930.7</v>
      </c>
      <c r="J94" s="82">
        <f t="shared" si="18"/>
        <v>2609.6</v>
      </c>
      <c r="K94" s="82">
        <f t="shared" si="18"/>
        <v>23429.700000000004</v>
      </c>
      <c r="L94" s="82">
        <f t="shared" si="18"/>
        <v>972.4000000000001</v>
      </c>
      <c r="M94" s="91">
        <f t="shared" si="18"/>
        <v>1482.9</v>
      </c>
      <c r="N94" s="82">
        <f t="shared" si="18"/>
        <v>9924.199999999999</v>
      </c>
      <c r="O94" s="82">
        <f t="shared" si="18"/>
        <v>2048.2</v>
      </c>
      <c r="P94" s="82">
        <f t="shared" si="18"/>
        <v>856.5</v>
      </c>
      <c r="Q94" s="82">
        <f t="shared" si="18"/>
        <v>1896.6000000000001</v>
      </c>
      <c r="R94" s="82">
        <f t="shared" si="18"/>
        <v>481.5</v>
      </c>
      <c r="S94" s="82">
        <f t="shared" si="18"/>
        <v>3099.3</v>
      </c>
      <c r="T94" s="82">
        <f t="shared" si="18"/>
        <v>708</v>
      </c>
      <c r="U94" s="82">
        <f t="shared" si="18"/>
        <v>6116.3</v>
      </c>
      <c r="V94" s="82">
        <f t="shared" si="18"/>
        <v>38816.00000000001</v>
      </c>
      <c r="W94" s="82">
        <f t="shared" si="18"/>
        <v>2627.9999999999995</v>
      </c>
      <c r="X94" s="82">
        <f t="shared" si="18"/>
        <v>16956</v>
      </c>
      <c r="Y94" s="82">
        <f t="shared" si="18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114199.90000000001</v>
      </c>
      <c r="AG94" s="83">
        <f>AG10+AG15+AG24+AG33+AG47+AG52+AG54+AG61+AG62+AG69+AG71+AG72+AG76+AG81+AG82+AG83+AG88+AG89+AG90+AG91+AG70+AG40+AG92</f>
        <v>48548.6</v>
      </c>
    </row>
    <row r="95" spans="1:33" ht="15.75">
      <c r="A95" s="3" t="s">
        <v>5</v>
      </c>
      <c r="B95" s="22">
        <f aca="true" t="shared" si="19" ref="B95:AD95">B11+B17+B26+B34+B55+B63+B73+B41+B77+B48</f>
        <v>76983.7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244</v>
      </c>
      <c r="H95" s="67">
        <f t="shared" si="19"/>
        <v>0</v>
      </c>
      <c r="I95" s="67">
        <f t="shared" si="19"/>
        <v>0</v>
      </c>
      <c r="J95" s="67">
        <f t="shared" si="19"/>
        <v>2447.7</v>
      </c>
      <c r="K95" s="67">
        <f t="shared" si="19"/>
        <v>23429.7</v>
      </c>
      <c r="L95" s="67">
        <f t="shared" si="19"/>
        <v>827</v>
      </c>
      <c r="M95" s="72">
        <f t="shared" si="19"/>
        <v>733.8000000000001</v>
      </c>
      <c r="N95" s="67">
        <f t="shared" si="19"/>
        <v>0</v>
      </c>
      <c r="O95" s="67">
        <f t="shared" si="19"/>
        <v>0</v>
      </c>
      <c r="P95" s="67">
        <f t="shared" si="19"/>
        <v>292</v>
      </c>
      <c r="Q95" s="67">
        <f t="shared" si="19"/>
        <v>16</v>
      </c>
      <c r="R95" s="67">
        <f t="shared" si="19"/>
        <v>4.4</v>
      </c>
      <c r="S95" s="67">
        <f t="shared" si="19"/>
        <v>0</v>
      </c>
      <c r="T95" s="67">
        <f t="shared" si="19"/>
        <v>0</v>
      </c>
      <c r="U95" s="67">
        <f t="shared" si="19"/>
        <v>2727.5</v>
      </c>
      <c r="V95" s="67">
        <f t="shared" si="19"/>
        <v>24338.899999999998</v>
      </c>
      <c r="W95" s="67">
        <f t="shared" si="19"/>
        <v>2568.6</v>
      </c>
      <c r="X95" s="67">
        <f t="shared" si="19"/>
        <v>15069.2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72698.8</v>
      </c>
      <c r="AG95" s="71">
        <f>B95+C95-AF95</f>
        <v>4284.899999999994</v>
      </c>
    </row>
    <row r="96" spans="1:33" ht="15.75">
      <c r="A96" s="3" t="s">
        <v>2</v>
      </c>
      <c r="B96" s="22">
        <f aca="true" t="shared" si="20" ref="B96:AD96">B12+B20+B29+B36+B57+B66+B44+B80+B74+B53</f>
        <v>10640.400000000001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72">
        <f t="shared" si="20"/>
        <v>13.9</v>
      </c>
      <c r="N96" s="67">
        <f t="shared" si="20"/>
        <v>0</v>
      </c>
      <c r="O96" s="67">
        <f t="shared" si="20"/>
        <v>0</v>
      </c>
      <c r="P96" s="67">
        <f t="shared" si="20"/>
        <v>0</v>
      </c>
      <c r="Q96" s="67">
        <f t="shared" si="20"/>
        <v>0</v>
      </c>
      <c r="R96" s="67">
        <f t="shared" si="20"/>
        <v>0</v>
      </c>
      <c r="S96" s="67">
        <f t="shared" si="20"/>
        <v>0</v>
      </c>
      <c r="T96" s="67">
        <f t="shared" si="20"/>
        <v>0</v>
      </c>
      <c r="U96" s="67">
        <f t="shared" si="20"/>
        <v>43.7</v>
      </c>
      <c r="V96" s="67">
        <f t="shared" si="20"/>
        <v>101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158.6</v>
      </c>
      <c r="AG96" s="71">
        <f>B96+C96-AF96</f>
        <v>10481.800000000001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72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4299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72">
        <f t="shared" si="22"/>
        <v>10</v>
      </c>
      <c r="N98" s="67">
        <f t="shared" si="22"/>
        <v>0</v>
      </c>
      <c r="O98" s="67">
        <f t="shared" si="22"/>
        <v>0</v>
      </c>
      <c r="P98" s="67">
        <f t="shared" si="22"/>
        <v>525.8</v>
      </c>
      <c r="Q98" s="67">
        <f t="shared" si="22"/>
        <v>0</v>
      </c>
      <c r="R98" s="67">
        <f t="shared" si="22"/>
        <v>46.4</v>
      </c>
      <c r="S98" s="67">
        <f t="shared" si="22"/>
        <v>601.2</v>
      </c>
      <c r="T98" s="67">
        <f t="shared" si="22"/>
        <v>43.3</v>
      </c>
      <c r="U98" s="67">
        <f t="shared" si="22"/>
        <v>359.59999999999997</v>
      </c>
      <c r="V98" s="67">
        <f t="shared" si="22"/>
        <v>63.2</v>
      </c>
      <c r="W98" s="67">
        <f t="shared" si="22"/>
        <v>22.2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1671.7</v>
      </c>
      <c r="AG98" s="71">
        <f>B98+C98-AF98</f>
        <v>2627.3</v>
      </c>
    </row>
    <row r="99" spans="1:33" ht="15.75">
      <c r="A99" s="3" t="s">
        <v>16</v>
      </c>
      <c r="B99" s="22">
        <f aca="true" t="shared" si="23" ref="B99:X99">B21+B30+B49+B37+B58+B13+B75+B67</f>
        <v>6121.4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152.1</v>
      </c>
      <c r="K99" s="67">
        <f t="shared" si="23"/>
        <v>0</v>
      </c>
      <c r="L99" s="67">
        <f t="shared" si="23"/>
        <v>0</v>
      </c>
      <c r="M99" s="72">
        <f t="shared" si="23"/>
        <v>0</v>
      </c>
      <c r="N99" s="67">
        <f t="shared" si="23"/>
        <v>0</v>
      </c>
      <c r="O99" s="67">
        <f t="shared" si="23"/>
        <v>134.7</v>
      </c>
      <c r="P99" s="67">
        <f t="shared" si="23"/>
        <v>12.4</v>
      </c>
      <c r="Q99" s="67">
        <f t="shared" si="23"/>
        <v>164.7</v>
      </c>
      <c r="R99" s="67">
        <f t="shared" si="23"/>
        <v>14</v>
      </c>
      <c r="S99" s="67">
        <f t="shared" si="23"/>
        <v>2449</v>
      </c>
      <c r="T99" s="67">
        <f t="shared" si="23"/>
        <v>0</v>
      </c>
      <c r="U99" s="67">
        <f t="shared" si="23"/>
        <v>7.7</v>
      </c>
      <c r="V99" s="67">
        <f t="shared" si="23"/>
        <v>5.1</v>
      </c>
      <c r="W99" s="67">
        <f t="shared" si="23"/>
        <v>8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2947.7</v>
      </c>
      <c r="AG99" s="71">
        <f>B99+C99-AF99</f>
        <v>3173.7</v>
      </c>
    </row>
    <row r="100" spans="1:33" ht="12.75">
      <c r="A100" s="1" t="s">
        <v>35</v>
      </c>
      <c r="B100" s="2">
        <f aca="true" t="shared" si="25" ref="B100:AD100">B94-B95-B96-B97-B98-B99</f>
        <v>64703.99999999999</v>
      </c>
      <c r="C100" s="2">
        <f t="shared" si="25"/>
        <v>0</v>
      </c>
      <c r="D100" s="84">
        <f t="shared" si="25"/>
        <v>0</v>
      </c>
      <c r="E100" s="84">
        <f t="shared" si="25"/>
        <v>0</v>
      </c>
      <c r="F100" s="84">
        <f t="shared" si="25"/>
        <v>0</v>
      </c>
      <c r="G100" s="84">
        <f t="shared" si="25"/>
        <v>0</v>
      </c>
      <c r="H100" s="84">
        <f t="shared" si="25"/>
        <v>0</v>
      </c>
      <c r="I100" s="84">
        <f t="shared" si="25"/>
        <v>1930.7</v>
      </c>
      <c r="J100" s="84">
        <f t="shared" si="25"/>
        <v>9.800000000000097</v>
      </c>
      <c r="K100" s="84">
        <f t="shared" si="25"/>
        <v>3.637978807091713E-12</v>
      </c>
      <c r="L100" s="84">
        <f t="shared" si="25"/>
        <v>145.4000000000001</v>
      </c>
      <c r="M100" s="92">
        <f t="shared" si="25"/>
        <v>725.2</v>
      </c>
      <c r="N100" s="84">
        <f t="shared" si="25"/>
        <v>9924.199999999999</v>
      </c>
      <c r="O100" s="84">
        <f t="shared" si="25"/>
        <v>1913.4999999999998</v>
      </c>
      <c r="P100" s="84">
        <f t="shared" si="25"/>
        <v>26.300000000000047</v>
      </c>
      <c r="Q100" s="84">
        <f t="shared" si="25"/>
        <v>1715.9</v>
      </c>
      <c r="R100" s="84">
        <f t="shared" si="25"/>
        <v>416.70000000000005</v>
      </c>
      <c r="S100" s="84">
        <f t="shared" si="25"/>
        <v>49.100000000000364</v>
      </c>
      <c r="T100" s="84">
        <f t="shared" si="25"/>
        <v>664.7</v>
      </c>
      <c r="U100" s="84">
        <f t="shared" si="25"/>
        <v>2977.8000000000006</v>
      </c>
      <c r="V100" s="84">
        <f t="shared" si="25"/>
        <v>14307.800000000008</v>
      </c>
      <c r="W100" s="84">
        <f t="shared" si="25"/>
        <v>29.199999999999633</v>
      </c>
      <c r="X100" s="84">
        <f t="shared" si="25"/>
        <v>1886.7999999999993</v>
      </c>
      <c r="Y100" s="84">
        <f t="shared" si="25"/>
        <v>0</v>
      </c>
      <c r="Z100" s="84">
        <f t="shared" si="25"/>
        <v>0</v>
      </c>
      <c r="AA100" s="84">
        <f t="shared" si="25"/>
        <v>0</v>
      </c>
      <c r="AB100" s="84">
        <f t="shared" si="25"/>
        <v>0</v>
      </c>
      <c r="AC100" s="84">
        <f t="shared" si="25"/>
        <v>0</v>
      </c>
      <c r="AD100" s="84">
        <f t="shared" si="25"/>
        <v>0</v>
      </c>
      <c r="AE100" s="84"/>
      <c r="AF100" s="84">
        <f>AF94-AF95-AF96-AF97-AF98-AF99</f>
        <v>36723.10000000001</v>
      </c>
      <c r="AG100" s="84">
        <f>AG94-AG95-AG96-AG97-AG98-AG99</f>
        <v>27980.9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L186"/>
  <sheetViews>
    <sheetView tabSelected="1" view="pageBreakPreview" zoomScale="85" zoomScaleNormal="70" zoomScaleSheetLayoutView="85" zoomScalePageLayoutView="0" workbookViewId="0" topLeftCell="A1">
      <pane xSplit="3" ySplit="6" topLeftCell="AD7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I72" sqref="I7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11.75390625" style="0" customWidth="1"/>
    <col min="5" max="5" width="9.75390625" style="0" customWidth="1"/>
    <col min="6" max="6" width="11.625" style="0" hidden="1" customWidth="1"/>
    <col min="7" max="7" width="9.75390625" style="0" hidden="1" customWidth="1"/>
    <col min="8" max="10" width="9.75390625" style="0" customWidth="1"/>
    <col min="11" max="11" width="10.375" style="0" customWidth="1"/>
    <col min="12" max="12" width="10.75390625" style="0" customWidth="1"/>
    <col min="13" max="13" width="10.75390625" style="18" hidden="1" customWidth="1"/>
    <col min="14" max="14" width="11.375" style="0" hidden="1" customWidth="1"/>
    <col min="15" max="17" width="11.00390625" style="0" customWidth="1"/>
    <col min="18" max="18" width="10.00390625" style="18" customWidth="1"/>
    <col min="19" max="19" width="11.625" style="0" customWidth="1"/>
    <col min="20" max="20" width="10.875" style="0" hidden="1" customWidth="1"/>
    <col min="21" max="21" width="9.625" style="0" hidden="1" customWidth="1"/>
    <col min="22" max="24" width="10.25390625" style="0" customWidth="1"/>
    <col min="25" max="25" width="11.875" style="0" customWidth="1"/>
    <col min="26" max="26" width="11.75390625" style="18" customWidth="1"/>
    <col min="27" max="27" width="10.875" style="18" hidden="1" customWidth="1"/>
    <col min="28" max="28" width="10.875" style="0" hidden="1" customWidth="1"/>
    <col min="29" max="31" width="11.00390625" style="0" customWidth="1"/>
    <col min="32" max="32" width="10.625" style="0" customWidth="1"/>
    <col min="33" max="33" width="11.75390625" style="18" hidden="1" customWidth="1"/>
    <col min="34" max="35" width="8.75390625" style="18" hidden="1" customWidth="1"/>
    <col min="36" max="36" width="9.875" style="18" hidden="1" customWidth="1"/>
    <col min="37" max="39" width="8.25390625" style="0" hidden="1" customWidth="1"/>
    <col min="40" max="40" width="12.125" style="0" customWidth="1"/>
    <col min="41" max="41" width="11.125" style="0" customWidth="1"/>
    <col min="42" max="42" width="14.875" style="0" customWidth="1"/>
    <col min="43" max="43" width="13.625" style="0" customWidth="1"/>
  </cols>
  <sheetData>
    <row r="1" spans="1:42" s="18" customFormat="1" ht="21" customHeight="1">
      <c r="A1" s="172" t="s">
        <v>12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</row>
    <row r="2" spans="1:42" s="18" customFormat="1" ht="22.5" customHeight="1">
      <c r="A2" s="173" t="s">
        <v>68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</row>
    <row r="3" spans="2:42" s="18" customFormat="1" ht="17.25" customHeight="1">
      <c r="B3" s="116"/>
      <c r="C3" s="116"/>
      <c r="D3" s="116"/>
      <c r="AP3" s="117" t="s">
        <v>17</v>
      </c>
    </row>
    <row r="4" spans="1:42" s="18" customFormat="1" ht="63">
      <c r="A4" s="118" t="s">
        <v>26</v>
      </c>
      <c r="B4" s="119" t="s">
        <v>69</v>
      </c>
      <c r="C4" s="119" t="s">
        <v>18</v>
      </c>
      <c r="D4" s="119">
        <v>2</v>
      </c>
      <c r="E4" s="19">
        <v>3</v>
      </c>
      <c r="F4" s="19">
        <v>3</v>
      </c>
      <c r="G4" s="19">
        <v>4</v>
      </c>
      <c r="H4" s="19">
        <v>4</v>
      </c>
      <c r="I4" s="19">
        <v>5</v>
      </c>
      <c r="J4" s="19">
        <v>6</v>
      </c>
      <c r="K4" s="19">
        <v>9</v>
      </c>
      <c r="L4" s="19">
        <v>10</v>
      </c>
      <c r="M4" s="19">
        <v>10</v>
      </c>
      <c r="N4" s="19">
        <v>11</v>
      </c>
      <c r="O4" s="19">
        <v>11</v>
      </c>
      <c r="P4" s="19">
        <v>12</v>
      </c>
      <c r="Q4" s="19">
        <v>13</v>
      </c>
      <c r="R4" s="19">
        <v>16</v>
      </c>
      <c r="S4" s="19">
        <v>17</v>
      </c>
      <c r="T4" s="19">
        <v>17</v>
      </c>
      <c r="U4" s="19">
        <v>18</v>
      </c>
      <c r="V4" s="19">
        <v>18</v>
      </c>
      <c r="W4" s="19">
        <v>19</v>
      </c>
      <c r="X4" s="19">
        <v>20</v>
      </c>
      <c r="Y4" s="19">
        <v>23</v>
      </c>
      <c r="Z4" s="19">
        <v>24</v>
      </c>
      <c r="AA4" s="19">
        <v>24</v>
      </c>
      <c r="AB4" s="19">
        <v>25</v>
      </c>
      <c r="AC4" s="19">
        <v>25</v>
      </c>
      <c r="AD4" s="19">
        <v>26</v>
      </c>
      <c r="AE4" s="19">
        <v>27</v>
      </c>
      <c r="AF4" s="19">
        <v>30</v>
      </c>
      <c r="AG4" s="19"/>
      <c r="AH4" s="19"/>
      <c r="AI4" s="19"/>
      <c r="AJ4" s="19"/>
      <c r="AK4" s="19"/>
      <c r="AL4" s="19"/>
      <c r="AM4" s="19"/>
      <c r="AN4" s="119" t="s">
        <v>19</v>
      </c>
      <c r="AO4" s="120" t="s">
        <v>13</v>
      </c>
      <c r="AP4" s="120" t="s">
        <v>20</v>
      </c>
    </row>
    <row r="5" spans="1:42" s="18" customFormat="1" ht="15.75" hidden="1">
      <c r="A5" s="121" t="s">
        <v>42</v>
      </c>
      <c r="B5" s="86">
        <f>SUM(D5:AH5)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86"/>
      <c r="AO5" s="123"/>
      <c r="AP5" s="123"/>
    </row>
    <row r="6" spans="1:42" s="18" customFormat="1" ht="15.75" hidden="1">
      <c r="A6" s="121" t="s">
        <v>33</v>
      </c>
      <c r="B6" s="87">
        <f>SUM(D6:AM6)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122"/>
      <c r="AO6" s="123"/>
      <c r="AP6" s="123"/>
    </row>
    <row r="7" spans="1:42" s="18" customFormat="1" ht="15.75">
      <c r="A7" s="121" t="s">
        <v>36</v>
      </c>
      <c r="B7" s="87">
        <f>SUM(D7:AH7)</f>
        <v>15655.4</v>
      </c>
      <c r="C7" s="86">
        <v>13351.999999999993</v>
      </c>
      <c r="D7" s="122"/>
      <c r="E7" s="39">
        <v>15655.4</v>
      </c>
      <c r="F7" s="39"/>
      <c r="G7" s="39"/>
      <c r="H7" s="39"/>
      <c r="I7" s="39"/>
      <c r="J7" s="39"/>
      <c r="K7" s="125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86">
        <f>C7+E7+P7-AO16-AO25</f>
        <v>28883.499999999993</v>
      </c>
      <c r="AO7" s="86"/>
      <c r="AP7" s="123"/>
    </row>
    <row r="8" spans="1:64" s="18" customFormat="1" ht="18" customHeight="1">
      <c r="A8" s="126" t="s">
        <v>30</v>
      </c>
      <c r="B8" s="87">
        <f>SUM(E8:AK8)</f>
        <v>8143.700000000001</v>
      </c>
      <c r="C8" s="87">
        <v>52039.20662000024</v>
      </c>
      <c r="D8" s="127">
        <v>11881.6</v>
      </c>
      <c r="E8" s="127">
        <v>2997.7</v>
      </c>
      <c r="F8" s="127"/>
      <c r="G8" s="127"/>
      <c r="H8" s="127">
        <v>2223.4</v>
      </c>
      <c r="I8" s="127">
        <v>2922.6</v>
      </c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>
        <v>0</v>
      </c>
      <c r="AH8" s="127">
        <v>0</v>
      </c>
      <c r="AI8" s="62"/>
      <c r="AJ8" s="62"/>
      <c r="AK8" s="62"/>
      <c r="AL8" s="129"/>
      <c r="AM8" s="129"/>
      <c r="AN8" s="130">
        <f>SUM(D8:AM8)+C8-AO9+AO16+AO25</f>
        <v>31624.906620000234</v>
      </c>
      <c r="AO8" s="131"/>
      <c r="AP8" s="72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</row>
    <row r="9" spans="1:44" s="134" customFormat="1" ht="15.75">
      <c r="A9" s="126" t="s">
        <v>14</v>
      </c>
      <c r="B9" s="132">
        <f aca="true" t="shared" si="0" ref="B9:AM9">B10+B15+B24+B33+B47+B52+B54+B61+B62+B71+B72+B88+B76+B81+B83+B82+B69+B89+B90+B91+B70+B40+B92</f>
        <v>201024.59999999995</v>
      </c>
      <c r="C9" s="132">
        <v>99942.80000000003</v>
      </c>
      <c r="D9" s="90">
        <f t="shared" si="0"/>
        <v>17962.7</v>
      </c>
      <c r="E9" s="90">
        <f t="shared" si="0"/>
        <v>11419.3</v>
      </c>
      <c r="F9" s="90">
        <f t="shared" si="0"/>
        <v>0</v>
      </c>
      <c r="G9" s="90">
        <f t="shared" si="0"/>
        <v>0</v>
      </c>
      <c r="H9" s="90">
        <f>H10+H15+H24+H33+H47+H52+H54+H61+H62+H71+H72+H88+H76+H81+H83+H82+H69+H89+H90+H91+H70+H40+H92</f>
        <v>5934.5</v>
      </c>
      <c r="I9" s="90">
        <f>I10+I15+I24+I33+I47+I52+I54+I61+I62+I71+I72+I88+I76+I81+I83+I82+I69+I89+I90+I91+I70+I40+I92</f>
        <v>5247</v>
      </c>
      <c r="J9" s="90">
        <f>J10+J15+J24+J33+J47+J52+J54+J61+J62+J71+J72+J88+J76+J81+J83+J82+J69+J89+J90+J91+J70+J40+J92</f>
        <v>0</v>
      </c>
      <c r="K9" s="90">
        <f t="shared" si="0"/>
        <v>0</v>
      </c>
      <c r="L9" s="90">
        <f t="shared" si="0"/>
        <v>0</v>
      </c>
      <c r="M9" s="90">
        <f t="shared" si="0"/>
        <v>0</v>
      </c>
      <c r="N9" s="90">
        <f t="shared" si="0"/>
        <v>0</v>
      </c>
      <c r="O9" s="90">
        <f t="shared" si="0"/>
        <v>0</v>
      </c>
      <c r="P9" s="90">
        <f>P10+P15+P24+P33+P47+P52+P54+P61+P62+P71+P72+P88+P76+P81+P83+P82+P69+P89+P90+P91+P70+P40+P92</f>
        <v>0</v>
      </c>
      <c r="Q9" s="90">
        <f>Q10+Q15+Q24+Q33+Q47+Q52+Q54+Q61+Q62+Q71+Q72+Q88+Q76+Q81+Q83+Q82+Q69+Q89+Q90+Q91+Q70+Q40+Q92</f>
        <v>0</v>
      </c>
      <c r="R9" s="90">
        <f t="shared" si="0"/>
        <v>0</v>
      </c>
      <c r="S9" s="90">
        <f t="shared" si="0"/>
        <v>0</v>
      </c>
      <c r="T9" s="90">
        <f t="shared" si="0"/>
        <v>0</v>
      </c>
      <c r="U9" s="90">
        <f t="shared" si="0"/>
        <v>0</v>
      </c>
      <c r="V9" s="90">
        <f t="shared" si="0"/>
        <v>0</v>
      </c>
      <c r="W9" s="90">
        <f>W10+W15+W24+W33+W47+W52+W54+W61+W62+W71+W72+W88+W76+W81+W83+W82+W69+W89+W90+W91+W70+W40+W92</f>
        <v>0</v>
      </c>
      <c r="X9" s="90">
        <f>X10+X15+X24+X33+X47+X52+X54+X61+X62+X71+X72+X88+X76+X81+X83+X82+X69+X89+X90+X91+X70+X40+X92</f>
        <v>0</v>
      </c>
      <c r="Y9" s="90">
        <f t="shared" si="0"/>
        <v>0</v>
      </c>
      <c r="Z9" s="90">
        <f t="shared" si="0"/>
        <v>0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>AD10+AD15+AD24+AD33+AD47+AD52+AD54+AD61+AD62+AD71+AD72+AD88+AD76+AD81+AD83+AD82+AD69+AD89+AD90+AD91+AD70+AD40+AD92</f>
        <v>0</v>
      </c>
      <c r="AE9" s="90">
        <f>AE10+AE15+AE24+AE33+AE47+AE52+AE54+AE61+AE62+AE71+AE72+AE88+AE76+AE81+AE83+AE82+AE69+AE89+AE90+AE91+AE70+AE40+AE92</f>
        <v>0</v>
      </c>
      <c r="AF9" s="90">
        <f t="shared" si="0"/>
        <v>0</v>
      </c>
      <c r="AG9" s="90">
        <f t="shared" si="0"/>
        <v>0</v>
      </c>
      <c r="AH9" s="90">
        <f t="shared" si="0"/>
        <v>0</v>
      </c>
      <c r="AI9" s="90">
        <f t="shared" si="0"/>
        <v>0</v>
      </c>
      <c r="AJ9" s="90">
        <f t="shared" si="0"/>
        <v>0</v>
      </c>
      <c r="AK9" s="90">
        <f t="shared" si="0"/>
        <v>0</v>
      </c>
      <c r="AL9" s="90">
        <f t="shared" si="0"/>
        <v>0</v>
      </c>
      <c r="AM9" s="90">
        <f t="shared" si="0"/>
        <v>0</v>
      </c>
      <c r="AN9" s="90"/>
      <c r="AO9" s="90">
        <f>AO10+AO15+AO24+AO33+AO47+AO52+AO54+AO61+AO62+AO71+AO72+AO76+AO88+AO81+AO83+AO82+AO69+AO89+AO90+AO91+AO70+AO40+AO92</f>
        <v>40563.5</v>
      </c>
      <c r="AP9" s="90">
        <f>AP10+AP15+AP24+AP33+AP47+AP52+AP54+AP61+AP62+AP71+AP72+AP76+AP88+AP81+AP83+AP82+AP69+AP89+AP91+AP90+AP70+AP40+AP92</f>
        <v>260403.90000000005</v>
      </c>
      <c r="AQ9" s="133"/>
      <c r="AR9" s="133"/>
    </row>
    <row r="10" spans="1:44" s="142" customFormat="1" ht="15.75">
      <c r="A10" s="138" t="s">
        <v>4</v>
      </c>
      <c r="B10" s="139">
        <f>18096.1+300+352.9</f>
        <v>18749</v>
      </c>
      <c r="C10" s="139">
        <v>6003.200000000001</v>
      </c>
      <c r="D10" s="140">
        <v>204.3</v>
      </c>
      <c r="E10" s="140">
        <v>37.1</v>
      </c>
      <c r="F10" s="140"/>
      <c r="G10" s="140"/>
      <c r="H10" s="140">
        <v>26.4</v>
      </c>
      <c r="I10" s="140">
        <v>142.8</v>
      </c>
      <c r="J10" s="140"/>
      <c r="K10" s="140"/>
      <c r="L10" s="140"/>
      <c r="M10" s="141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>
        <f aca="true" t="shared" si="1" ref="AO10:AO59">SUM(D10:AM10)</f>
        <v>410.6</v>
      </c>
      <c r="AP10" s="140">
        <f>B10+C10-AO10</f>
        <v>24341.600000000002</v>
      </c>
      <c r="AR10" s="143"/>
    </row>
    <row r="11" spans="1:44" s="142" customFormat="1" ht="15.75">
      <c r="A11" s="144" t="s">
        <v>5</v>
      </c>
      <c r="B11" s="139">
        <f>16868.3+300+252.9</f>
        <v>17421.2</v>
      </c>
      <c r="C11" s="139">
        <v>4289.400000000005</v>
      </c>
      <c r="D11" s="140">
        <v>204.3</v>
      </c>
      <c r="E11" s="140">
        <v>37.1</v>
      </c>
      <c r="F11" s="140"/>
      <c r="G11" s="140"/>
      <c r="H11" s="140"/>
      <c r="I11" s="140">
        <v>109.8</v>
      </c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>
        <f t="shared" si="1"/>
        <v>351.2</v>
      </c>
      <c r="AP11" s="140">
        <f>B11+C11-AO11</f>
        <v>21359.400000000005</v>
      </c>
      <c r="AR11" s="143"/>
    </row>
    <row r="12" spans="1:44" s="142" customFormat="1" ht="15.75">
      <c r="A12" s="144" t="s">
        <v>2</v>
      </c>
      <c r="B12" s="145">
        <v>224.9</v>
      </c>
      <c r="C12" s="139">
        <v>79.30000000000001</v>
      </c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>
        <f t="shared" si="1"/>
        <v>0</v>
      </c>
      <c r="AP12" s="140">
        <f>B12+C12-AO12</f>
        <v>304.20000000000005</v>
      </c>
      <c r="AR12" s="143"/>
    </row>
    <row r="13" spans="1:44" s="142" customFormat="1" ht="15.75" hidden="1">
      <c r="A13" s="144" t="s">
        <v>16</v>
      </c>
      <c r="B13" s="139"/>
      <c r="C13" s="139">
        <v>0</v>
      </c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>
        <f t="shared" si="1"/>
        <v>0</v>
      </c>
      <c r="AP13" s="140">
        <f>B13+C13-AO13</f>
        <v>0</v>
      </c>
      <c r="AR13" s="143"/>
    </row>
    <row r="14" spans="1:44" s="142" customFormat="1" ht="15.75">
      <c r="A14" s="144" t="s">
        <v>23</v>
      </c>
      <c r="B14" s="139">
        <f aca="true" t="shared" si="2" ref="B14:AH14">B10-B11-B12-B13</f>
        <v>1102.8999999999992</v>
      </c>
      <c r="C14" s="139">
        <v>1634.4999999999957</v>
      </c>
      <c r="D14" s="140">
        <f t="shared" si="2"/>
        <v>0</v>
      </c>
      <c r="E14" s="140">
        <f t="shared" si="2"/>
        <v>0</v>
      </c>
      <c r="F14" s="140">
        <f t="shared" si="2"/>
        <v>0</v>
      </c>
      <c r="G14" s="140">
        <f t="shared" si="2"/>
        <v>0</v>
      </c>
      <c r="H14" s="140">
        <f>H10-H11-H12-H13</f>
        <v>26.4</v>
      </c>
      <c r="I14" s="140">
        <f>I10-I11-I12-I13</f>
        <v>33.000000000000014</v>
      </c>
      <c r="J14" s="140">
        <f>J10-J11-J12-J13</f>
        <v>0</v>
      </c>
      <c r="K14" s="140">
        <f t="shared" si="2"/>
        <v>0</v>
      </c>
      <c r="L14" s="140">
        <f t="shared" si="2"/>
        <v>0</v>
      </c>
      <c r="M14" s="140">
        <f t="shared" si="2"/>
        <v>0</v>
      </c>
      <c r="N14" s="140">
        <f t="shared" si="2"/>
        <v>0</v>
      </c>
      <c r="O14" s="140">
        <f t="shared" si="2"/>
        <v>0</v>
      </c>
      <c r="P14" s="140">
        <f>P10-P11-P12-P13</f>
        <v>0</v>
      </c>
      <c r="Q14" s="140">
        <f>Q10-Q11-Q12-Q13</f>
        <v>0</v>
      </c>
      <c r="R14" s="140">
        <f t="shared" si="2"/>
        <v>0</v>
      </c>
      <c r="S14" s="140">
        <f t="shared" si="2"/>
        <v>0</v>
      </c>
      <c r="T14" s="140">
        <f t="shared" si="2"/>
        <v>0</v>
      </c>
      <c r="U14" s="140">
        <f t="shared" si="2"/>
        <v>0</v>
      </c>
      <c r="V14" s="140">
        <f t="shared" si="2"/>
        <v>0</v>
      </c>
      <c r="W14" s="140">
        <f>W10-W11-W12-W13</f>
        <v>0</v>
      </c>
      <c r="X14" s="140">
        <f>X10-X11-X12-X13</f>
        <v>0</v>
      </c>
      <c r="Y14" s="140">
        <f t="shared" si="2"/>
        <v>0</v>
      </c>
      <c r="Z14" s="140">
        <f t="shared" si="2"/>
        <v>0</v>
      </c>
      <c r="AA14" s="140">
        <f t="shared" si="2"/>
        <v>0</v>
      </c>
      <c r="AB14" s="140">
        <f t="shared" si="2"/>
        <v>0</v>
      </c>
      <c r="AC14" s="140">
        <f t="shared" si="2"/>
        <v>0</v>
      </c>
      <c r="AD14" s="140">
        <f>AD10-AD11-AD12-AD13</f>
        <v>0</v>
      </c>
      <c r="AE14" s="140">
        <f>AE10-AE11-AE12-AE13</f>
        <v>0</v>
      </c>
      <c r="AF14" s="140">
        <f t="shared" si="2"/>
        <v>0</v>
      </c>
      <c r="AG14" s="140">
        <f t="shared" si="2"/>
        <v>0</v>
      </c>
      <c r="AH14" s="140">
        <f t="shared" si="2"/>
        <v>0</v>
      </c>
      <c r="AI14" s="140"/>
      <c r="AJ14" s="140"/>
      <c r="AK14" s="140"/>
      <c r="AL14" s="140"/>
      <c r="AM14" s="140"/>
      <c r="AN14" s="140"/>
      <c r="AO14" s="140">
        <f t="shared" si="1"/>
        <v>59.40000000000001</v>
      </c>
      <c r="AP14" s="140">
        <f>AP10-AP11-AP12-AP13</f>
        <v>2677.9999999999973</v>
      </c>
      <c r="AR14" s="143"/>
    </row>
    <row r="15" spans="1:44" s="142" customFormat="1" ht="15" customHeight="1">
      <c r="A15" s="138" t="s">
        <v>6</v>
      </c>
      <c r="B15" s="139">
        <f>59470.7+135+30.3</f>
        <v>59636</v>
      </c>
      <c r="C15" s="139">
        <v>46897.60000000003</v>
      </c>
      <c r="D15" s="146">
        <v>47.9</v>
      </c>
      <c r="E15" s="146">
        <v>57</v>
      </c>
      <c r="F15" s="146"/>
      <c r="G15" s="146"/>
      <c r="H15" s="146">
        <v>37</v>
      </c>
      <c r="I15" s="146">
        <v>647.1</v>
      </c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0"/>
      <c r="AJ15" s="140"/>
      <c r="AK15" s="140"/>
      <c r="AL15" s="140"/>
      <c r="AM15" s="140"/>
      <c r="AN15" s="140"/>
      <c r="AO15" s="140">
        <f t="shared" si="1"/>
        <v>789</v>
      </c>
      <c r="AP15" s="140">
        <f aca="true" t="shared" si="3" ref="AP15:AP31">B15+C15-AO15</f>
        <v>105744.60000000003</v>
      </c>
      <c r="AR15" s="143"/>
    </row>
    <row r="16" spans="1:44" s="152" customFormat="1" ht="15" customHeight="1">
      <c r="A16" s="147" t="s">
        <v>38</v>
      </c>
      <c r="B16" s="148">
        <v>14272.6</v>
      </c>
      <c r="C16" s="148">
        <v>12860.200000000004</v>
      </c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>
        <v>0</v>
      </c>
      <c r="AJ16" s="149">
        <v>0</v>
      </c>
      <c r="AK16" s="149">
        <v>0</v>
      </c>
      <c r="AL16" s="149">
        <v>0</v>
      </c>
      <c r="AM16" s="149">
        <v>0</v>
      </c>
      <c r="AN16" s="150"/>
      <c r="AO16" s="149">
        <f t="shared" si="1"/>
        <v>0</v>
      </c>
      <c r="AP16" s="149">
        <f t="shared" si="3"/>
        <v>27132.800000000003</v>
      </c>
      <c r="AQ16" s="151"/>
      <c r="AR16" s="143"/>
    </row>
    <row r="17" spans="1:44" s="142" customFormat="1" ht="15.75">
      <c r="A17" s="144" t="s">
        <v>5</v>
      </c>
      <c r="B17" s="139">
        <v>48547.1</v>
      </c>
      <c r="C17" s="139">
        <v>23797.959999999985</v>
      </c>
      <c r="D17" s="140">
        <v>47.9</v>
      </c>
      <c r="E17" s="140">
        <v>57</v>
      </c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>
        <f t="shared" si="1"/>
        <v>104.9</v>
      </c>
      <c r="AP17" s="140">
        <f t="shared" si="3"/>
        <v>72240.15999999999</v>
      </c>
      <c r="AQ17" s="143"/>
      <c r="AR17" s="143"/>
    </row>
    <row r="18" spans="1:44" s="142" customFormat="1" ht="15.75">
      <c r="A18" s="144" t="s">
        <v>3</v>
      </c>
      <c r="B18" s="139">
        <v>22.3</v>
      </c>
      <c r="C18" s="139">
        <v>14.100000000000001</v>
      </c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>
        <f t="shared" si="1"/>
        <v>0</v>
      </c>
      <c r="AP18" s="140">
        <f t="shared" si="3"/>
        <v>36.400000000000006</v>
      </c>
      <c r="AR18" s="143"/>
    </row>
    <row r="19" spans="1:44" s="142" customFormat="1" ht="15.75">
      <c r="A19" s="144" t="s">
        <v>1</v>
      </c>
      <c r="B19" s="139">
        <f>4198+85</f>
        <v>4283</v>
      </c>
      <c r="C19" s="139">
        <v>2292.7999999999984</v>
      </c>
      <c r="D19" s="140"/>
      <c r="E19" s="140"/>
      <c r="F19" s="140"/>
      <c r="G19" s="140"/>
      <c r="H19" s="140"/>
      <c r="I19" s="140">
        <v>320.1</v>
      </c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>
        <v>0</v>
      </c>
      <c r="AJ19" s="140">
        <v>0</v>
      </c>
      <c r="AK19" s="140">
        <v>0</v>
      </c>
      <c r="AL19" s="140">
        <v>0</v>
      </c>
      <c r="AM19" s="140">
        <v>0</v>
      </c>
      <c r="AN19" s="140"/>
      <c r="AO19" s="140">
        <f t="shared" si="1"/>
        <v>320.1</v>
      </c>
      <c r="AP19" s="140">
        <f t="shared" si="3"/>
        <v>6255.699999999998</v>
      </c>
      <c r="AR19" s="143"/>
    </row>
    <row r="20" spans="1:44" s="142" customFormat="1" ht="15.75">
      <c r="A20" s="144" t="s">
        <v>2</v>
      </c>
      <c r="B20" s="139">
        <v>2588</v>
      </c>
      <c r="C20" s="139">
        <v>9074.1</v>
      </c>
      <c r="D20" s="140"/>
      <c r="E20" s="140"/>
      <c r="F20" s="140"/>
      <c r="G20" s="140"/>
      <c r="H20" s="140">
        <v>22.3</v>
      </c>
      <c r="I20" s="140">
        <v>257.6</v>
      </c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>
        <f t="shared" si="1"/>
        <v>279.90000000000003</v>
      </c>
      <c r="AP20" s="140">
        <f t="shared" si="3"/>
        <v>11382.2</v>
      </c>
      <c r="AR20" s="143"/>
    </row>
    <row r="21" spans="1:44" s="142" customFormat="1" ht="15.75">
      <c r="A21" s="144" t="s">
        <v>16</v>
      </c>
      <c r="B21" s="139">
        <v>1268.6</v>
      </c>
      <c r="C21" s="139">
        <v>1042.4999999999995</v>
      </c>
      <c r="D21" s="140"/>
      <c r="E21" s="140"/>
      <c r="F21" s="140"/>
      <c r="G21" s="140"/>
      <c r="H21" s="140"/>
      <c r="I21" s="140">
        <v>60.2</v>
      </c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>
        <f t="shared" si="1"/>
        <v>60.2</v>
      </c>
      <c r="AP21" s="140">
        <f t="shared" si="3"/>
        <v>2250.8999999999996</v>
      </c>
      <c r="AR21" s="143"/>
    </row>
    <row r="22" spans="1:44" s="142" customFormat="1" ht="15.75" hidden="1">
      <c r="A22" s="144" t="s">
        <v>15</v>
      </c>
      <c r="B22" s="153"/>
      <c r="C22" s="139">
        <v>0</v>
      </c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>
        <f t="shared" si="1"/>
        <v>0</v>
      </c>
      <c r="AP22" s="140">
        <f t="shared" si="3"/>
        <v>0</v>
      </c>
      <c r="AR22" s="143"/>
    </row>
    <row r="23" spans="1:44" s="142" customFormat="1" ht="15.75">
      <c r="A23" s="144" t="s">
        <v>23</v>
      </c>
      <c r="B23" s="139">
        <f>B15-B17-B18-B19-B20-B21-B22</f>
        <v>2927.0000000000023</v>
      </c>
      <c r="C23" s="139">
        <v>10676.099999999997</v>
      </c>
      <c r="D23" s="140">
        <f aca="true" t="shared" si="4" ref="D23:AM23">D15-D17-D18-D19-D20-D21-D22</f>
        <v>0</v>
      </c>
      <c r="E23" s="140">
        <f t="shared" si="4"/>
        <v>0</v>
      </c>
      <c r="F23" s="140">
        <f t="shared" si="4"/>
        <v>0</v>
      </c>
      <c r="G23" s="140">
        <f t="shared" si="4"/>
        <v>0</v>
      </c>
      <c r="H23" s="140">
        <f>H15-H17-H18-H19-H20-H21-H22</f>
        <v>14.7</v>
      </c>
      <c r="I23" s="140">
        <f>I15-I17-I18-I19-I20-I21-I22</f>
        <v>9.199999999999974</v>
      </c>
      <c r="J23" s="140">
        <f>J15-J17-J18-J19-J20-J21-J22</f>
        <v>0</v>
      </c>
      <c r="K23" s="140">
        <f t="shared" si="4"/>
        <v>0</v>
      </c>
      <c r="L23" s="140">
        <f t="shared" si="4"/>
        <v>0</v>
      </c>
      <c r="M23" s="140">
        <f t="shared" si="4"/>
        <v>0</v>
      </c>
      <c r="N23" s="140">
        <f t="shared" si="4"/>
        <v>0</v>
      </c>
      <c r="O23" s="140">
        <f t="shared" si="4"/>
        <v>0</v>
      </c>
      <c r="P23" s="140">
        <f>P15-P17-P18-P19-P20-P21-P22</f>
        <v>0</v>
      </c>
      <c r="Q23" s="140">
        <f>Q15-Q17-Q18-Q19-Q20-Q21-Q22</f>
        <v>0</v>
      </c>
      <c r="R23" s="140">
        <f t="shared" si="4"/>
        <v>0</v>
      </c>
      <c r="S23" s="140">
        <f t="shared" si="4"/>
        <v>0</v>
      </c>
      <c r="T23" s="140">
        <f t="shared" si="4"/>
        <v>0</v>
      </c>
      <c r="U23" s="140">
        <f t="shared" si="4"/>
        <v>0</v>
      </c>
      <c r="V23" s="140">
        <f t="shared" si="4"/>
        <v>0</v>
      </c>
      <c r="W23" s="140">
        <f>W15-W17-W18-W19-W20-W21-W22</f>
        <v>0</v>
      </c>
      <c r="X23" s="140">
        <f>X15-X17-X18-X19-X20-X21-X22</f>
        <v>0</v>
      </c>
      <c r="Y23" s="140">
        <f t="shared" si="4"/>
        <v>0</v>
      </c>
      <c r="Z23" s="140">
        <f t="shared" si="4"/>
        <v>0</v>
      </c>
      <c r="AA23" s="140">
        <f t="shared" si="4"/>
        <v>0</v>
      </c>
      <c r="AB23" s="140">
        <f t="shared" si="4"/>
        <v>0</v>
      </c>
      <c r="AC23" s="140">
        <f t="shared" si="4"/>
        <v>0</v>
      </c>
      <c r="AD23" s="140">
        <f>AD15-AD17-AD18-AD19-AD20-AD21-AD22</f>
        <v>0</v>
      </c>
      <c r="AE23" s="140">
        <f>AE15-AE17-AE18-AE19-AE20-AE21-AE22</f>
        <v>0</v>
      </c>
      <c r="AF23" s="140">
        <f t="shared" si="4"/>
        <v>0</v>
      </c>
      <c r="AG23" s="140">
        <f t="shared" si="4"/>
        <v>0</v>
      </c>
      <c r="AH23" s="140">
        <f t="shared" si="4"/>
        <v>0</v>
      </c>
      <c r="AI23" s="140">
        <f t="shared" si="4"/>
        <v>0</v>
      </c>
      <c r="AJ23" s="140">
        <f t="shared" si="4"/>
        <v>0</v>
      </c>
      <c r="AK23" s="140">
        <f t="shared" si="4"/>
        <v>0</v>
      </c>
      <c r="AL23" s="140">
        <f t="shared" si="4"/>
        <v>0</v>
      </c>
      <c r="AM23" s="140">
        <f t="shared" si="4"/>
        <v>0</v>
      </c>
      <c r="AN23" s="140"/>
      <c r="AO23" s="140">
        <f t="shared" si="1"/>
        <v>23.899999999999974</v>
      </c>
      <c r="AP23" s="140">
        <f t="shared" si="3"/>
        <v>13579.199999999999</v>
      </c>
      <c r="AR23" s="143"/>
    </row>
    <row r="24" spans="1:44" s="142" customFormat="1" ht="15" customHeight="1">
      <c r="A24" s="138" t="s">
        <v>7</v>
      </c>
      <c r="B24" s="139">
        <f>37075.1-612.8-791.7+350.9</f>
        <v>36021.5</v>
      </c>
      <c r="C24" s="139">
        <v>12137.7</v>
      </c>
      <c r="D24" s="140"/>
      <c r="E24" s="140">
        <v>123.4</v>
      </c>
      <c r="F24" s="140"/>
      <c r="G24" s="140"/>
      <c r="H24" s="140">
        <v>0.5</v>
      </c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>
        <f t="shared" si="1"/>
        <v>123.9</v>
      </c>
      <c r="AP24" s="140">
        <f t="shared" si="3"/>
        <v>48035.299999999996</v>
      </c>
      <c r="AR24" s="143"/>
    </row>
    <row r="25" spans="1:44" s="152" customFormat="1" ht="15" customHeight="1">
      <c r="A25" s="147" t="s">
        <v>39</v>
      </c>
      <c r="B25" s="148">
        <v>17137.9</v>
      </c>
      <c r="C25" s="148">
        <v>92.30000000000291</v>
      </c>
      <c r="D25" s="150"/>
      <c r="E25" s="150">
        <v>123.4</v>
      </c>
      <c r="F25" s="150"/>
      <c r="G25" s="150"/>
      <c r="H25" s="150">
        <v>0.5</v>
      </c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49">
        <f t="shared" si="1"/>
        <v>123.9</v>
      </c>
      <c r="AP25" s="149">
        <f t="shared" si="3"/>
        <v>17106.300000000003</v>
      </c>
      <c r="AQ25" s="151"/>
      <c r="AR25" s="143"/>
    </row>
    <row r="26" spans="1:44" s="142" customFormat="1" ht="15.75" hidden="1">
      <c r="A26" s="144" t="s">
        <v>5</v>
      </c>
      <c r="B26" s="139"/>
      <c r="C26" s="139">
        <v>0</v>
      </c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>
        <f t="shared" si="1"/>
        <v>0</v>
      </c>
      <c r="AP26" s="140">
        <f t="shared" si="3"/>
        <v>0</v>
      </c>
      <c r="AQ26" s="143"/>
      <c r="AR26" s="143"/>
    </row>
    <row r="27" spans="1:44" s="142" customFormat="1" ht="15.75" hidden="1">
      <c r="A27" s="144" t="s">
        <v>3</v>
      </c>
      <c r="B27" s="139"/>
      <c r="C27" s="139">
        <v>0</v>
      </c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>
        <f t="shared" si="1"/>
        <v>0</v>
      </c>
      <c r="AP27" s="140">
        <f t="shared" si="3"/>
        <v>0</v>
      </c>
      <c r="AR27" s="143"/>
    </row>
    <row r="28" spans="1:44" s="142" customFormat="1" ht="15.75" hidden="1">
      <c r="A28" s="144" t="s">
        <v>1</v>
      </c>
      <c r="B28" s="139"/>
      <c r="C28" s="139">
        <v>0</v>
      </c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>
        <f t="shared" si="1"/>
        <v>0</v>
      </c>
      <c r="AP28" s="140">
        <f t="shared" si="3"/>
        <v>0</v>
      </c>
      <c r="AR28" s="143"/>
    </row>
    <row r="29" spans="1:44" s="142" customFormat="1" ht="15.75" hidden="1">
      <c r="A29" s="144" t="s">
        <v>2</v>
      </c>
      <c r="B29" s="139"/>
      <c r="C29" s="139">
        <v>0</v>
      </c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>
        <f t="shared" si="1"/>
        <v>0</v>
      </c>
      <c r="AP29" s="140">
        <f t="shared" si="3"/>
        <v>0</v>
      </c>
      <c r="AR29" s="143"/>
    </row>
    <row r="30" spans="1:44" s="142" customFormat="1" ht="15.75">
      <c r="A30" s="144" t="s">
        <v>16</v>
      </c>
      <c r="B30" s="139">
        <v>90.9</v>
      </c>
      <c r="C30" s="139">
        <v>134.39999999999998</v>
      </c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>
        <f t="shared" si="1"/>
        <v>0</v>
      </c>
      <c r="AP30" s="140">
        <f t="shared" si="3"/>
        <v>225.29999999999998</v>
      </c>
      <c r="AR30" s="143"/>
    </row>
    <row r="31" spans="1:44" s="142" customFormat="1" ht="15.75" hidden="1">
      <c r="A31" s="144" t="s">
        <v>15</v>
      </c>
      <c r="B31" s="139"/>
      <c r="C31" s="139">
        <v>0</v>
      </c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>
        <f t="shared" si="1"/>
        <v>0</v>
      </c>
      <c r="AP31" s="140">
        <f t="shared" si="3"/>
        <v>0</v>
      </c>
      <c r="AR31" s="143"/>
    </row>
    <row r="32" spans="1:44" s="142" customFormat="1" ht="15.75">
      <c r="A32" s="144" t="s">
        <v>23</v>
      </c>
      <c r="B32" s="139">
        <f>B24-B30</f>
        <v>35930.6</v>
      </c>
      <c r="C32" s="139">
        <v>12003.300000000001</v>
      </c>
      <c r="D32" s="140">
        <f aca="true" t="shared" si="5" ref="D32:AM32">D24-D26-D27-D28-D29-D30-D31</f>
        <v>0</v>
      </c>
      <c r="E32" s="140">
        <f t="shared" si="5"/>
        <v>123.4</v>
      </c>
      <c r="F32" s="140">
        <f t="shared" si="5"/>
        <v>0</v>
      </c>
      <c r="G32" s="140">
        <f t="shared" si="5"/>
        <v>0</v>
      </c>
      <c r="H32" s="140">
        <f>H24-H26-H27-H28-H29-H30-H31</f>
        <v>0.5</v>
      </c>
      <c r="I32" s="140">
        <f>I24-I26-I27-I28-I29-I30-I31</f>
        <v>0</v>
      </c>
      <c r="J32" s="140">
        <f>J24-J26-J27-J28-J29-J30-J31</f>
        <v>0</v>
      </c>
      <c r="K32" s="140">
        <f t="shared" si="5"/>
        <v>0</v>
      </c>
      <c r="L32" s="140">
        <f>L24-L26-L27-L28-L29-L30-L31</f>
        <v>0</v>
      </c>
      <c r="M32" s="140">
        <f t="shared" si="5"/>
        <v>0</v>
      </c>
      <c r="N32" s="140">
        <f t="shared" si="5"/>
        <v>0</v>
      </c>
      <c r="O32" s="140">
        <f t="shared" si="5"/>
        <v>0</v>
      </c>
      <c r="P32" s="140">
        <f>P24-P26-P27-P28-P29-P30-P31</f>
        <v>0</v>
      </c>
      <c r="Q32" s="140">
        <f>Q24-Q26-Q27-Q28-Q29-Q30-Q31</f>
        <v>0</v>
      </c>
      <c r="R32" s="140">
        <f t="shared" si="5"/>
        <v>0</v>
      </c>
      <c r="S32" s="140">
        <f t="shared" si="5"/>
        <v>0</v>
      </c>
      <c r="T32" s="140">
        <f t="shared" si="5"/>
        <v>0</v>
      </c>
      <c r="U32" s="140">
        <f t="shared" si="5"/>
        <v>0</v>
      </c>
      <c r="V32" s="140">
        <f t="shared" si="5"/>
        <v>0</v>
      </c>
      <c r="W32" s="140">
        <f>W24-W26-W27-W28-W29-W30-W31</f>
        <v>0</v>
      </c>
      <c r="X32" s="140">
        <f>X24-X26-X27-X28-X29-X30-X31</f>
        <v>0</v>
      </c>
      <c r="Y32" s="140">
        <f t="shared" si="5"/>
        <v>0</v>
      </c>
      <c r="Z32" s="140">
        <f t="shared" si="5"/>
        <v>0</v>
      </c>
      <c r="AA32" s="140">
        <f t="shared" si="5"/>
        <v>0</v>
      </c>
      <c r="AB32" s="140">
        <f t="shared" si="5"/>
        <v>0</v>
      </c>
      <c r="AC32" s="140">
        <f t="shared" si="5"/>
        <v>0</v>
      </c>
      <c r="AD32" s="140">
        <f>AD24-AD26-AD27-AD28-AD29-AD30-AD31</f>
        <v>0</v>
      </c>
      <c r="AE32" s="140">
        <f>AE24-AE26-AE27-AE28-AE29-AE30-AE31</f>
        <v>0</v>
      </c>
      <c r="AF32" s="140">
        <f t="shared" si="5"/>
        <v>0</v>
      </c>
      <c r="AG32" s="140">
        <f t="shared" si="5"/>
        <v>0</v>
      </c>
      <c r="AH32" s="140">
        <f t="shared" si="5"/>
        <v>0</v>
      </c>
      <c r="AI32" s="140">
        <f t="shared" si="5"/>
        <v>0</v>
      </c>
      <c r="AJ32" s="140">
        <f t="shared" si="5"/>
        <v>0</v>
      </c>
      <c r="AK32" s="140">
        <f t="shared" si="5"/>
        <v>0</v>
      </c>
      <c r="AL32" s="140">
        <f t="shared" si="5"/>
        <v>0</v>
      </c>
      <c r="AM32" s="140">
        <f t="shared" si="5"/>
        <v>0</v>
      </c>
      <c r="AN32" s="140"/>
      <c r="AO32" s="140">
        <f t="shared" si="1"/>
        <v>123.9</v>
      </c>
      <c r="AP32" s="140">
        <f>AP24-AP30</f>
        <v>47809.99999999999</v>
      </c>
      <c r="AR32" s="143"/>
    </row>
    <row r="33" spans="1:44" s="142" customFormat="1" ht="15" customHeight="1">
      <c r="A33" s="138" t="s">
        <v>8</v>
      </c>
      <c r="B33" s="139">
        <v>307</v>
      </c>
      <c r="C33" s="139">
        <v>376.00000000000074</v>
      </c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>
        <f t="shared" si="1"/>
        <v>0</v>
      </c>
      <c r="AP33" s="140">
        <f aca="true" t="shared" si="6" ref="AP33:AP38">B33+C33-AO33</f>
        <v>683.0000000000007</v>
      </c>
      <c r="AR33" s="143"/>
    </row>
    <row r="34" spans="1:44" s="142" customFormat="1" ht="15.75">
      <c r="A34" s="144" t="s">
        <v>5</v>
      </c>
      <c r="B34" s="139">
        <v>284</v>
      </c>
      <c r="C34" s="139">
        <v>102.29999999999995</v>
      </c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>
        <f t="shared" si="1"/>
        <v>0</v>
      </c>
      <c r="AP34" s="140">
        <f t="shared" si="6"/>
        <v>386.29999999999995</v>
      </c>
      <c r="AR34" s="143"/>
    </row>
    <row r="35" spans="1:44" s="142" customFormat="1" ht="15.75">
      <c r="A35" s="144" t="s">
        <v>1</v>
      </c>
      <c r="B35" s="139"/>
      <c r="C35" s="139">
        <v>2.5999999999999943</v>
      </c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>
        <f t="shared" si="1"/>
        <v>0</v>
      </c>
      <c r="AP35" s="140">
        <f t="shared" si="6"/>
        <v>2.5999999999999943</v>
      </c>
      <c r="AR35" s="143"/>
    </row>
    <row r="36" spans="1:44" s="142" customFormat="1" ht="15.75">
      <c r="A36" s="144" t="s">
        <v>2</v>
      </c>
      <c r="B36" s="153">
        <v>7.2</v>
      </c>
      <c r="C36" s="139">
        <v>72.10000000000001</v>
      </c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>
        <f t="shared" si="1"/>
        <v>0</v>
      </c>
      <c r="AP36" s="140">
        <f t="shared" si="6"/>
        <v>79.30000000000001</v>
      </c>
      <c r="AR36" s="143"/>
    </row>
    <row r="37" spans="1:44" s="142" customFormat="1" ht="15.75">
      <c r="A37" s="144" t="s">
        <v>16</v>
      </c>
      <c r="B37" s="139"/>
      <c r="C37" s="139">
        <v>0</v>
      </c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>
        <f t="shared" si="1"/>
        <v>0</v>
      </c>
      <c r="AP37" s="140">
        <f t="shared" si="6"/>
        <v>0</v>
      </c>
      <c r="AR37" s="143"/>
    </row>
    <row r="38" spans="1:44" s="142" customFormat="1" ht="15.75" hidden="1">
      <c r="A38" s="144" t="s">
        <v>15</v>
      </c>
      <c r="B38" s="139"/>
      <c r="C38" s="139">
        <v>0</v>
      </c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>
        <f t="shared" si="1"/>
        <v>0</v>
      </c>
      <c r="AP38" s="140">
        <f t="shared" si="6"/>
        <v>0</v>
      </c>
      <c r="AR38" s="143"/>
    </row>
    <row r="39" spans="1:44" s="142" customFormat="1" ht="15.75">
      <c r="A39" s="144" t="s">
        <v>23</v>
      </c>
      <c r="B39" s="139">
        <f aca="true" t="shared" si="7" ref="B39:AM39">B33-B34-B36-B38-B37-B35</f>
        <v>15.8</v>
      </c>
      <c r="C39" s="139">
        <v>199.00000000000077</v>
      </c>
      <c r="D39" s="140">
        <f t="shared" si="7"/>
        <v>0</v>
      </c>
      <c r="E39" s="140">
        <f t="shared" si="7"/>
        <v>0</v>
      </c>
      <c r="F39" s="140">
        <f t="shared" si="7"/>
        <v>0</v>
      </c>
      <c r="G39" s="140">
        <f t="shared" si="7"/>
        <v>0</v>
      </c>
      <c r="H39" s="140">
        <f>H33-H34-H36-H38-H37-H35</f>
        <v>0</v>
      </c>
      <c r="I39" s="140">
        <f>I33-I34-I36-I38-I37-I35</f>
        <v>0</v>
      </c>
      <c r="J39" s="140">
        <f>J33-J34-J36-J38-J37-J35</f>
        <v>0</v>
      </c>
      <c r="K39" s="140">
        <f t="shared" si="7"/>
        <v>0</v>
      </c>
      <c r="L39" s="140">
        <f t="shared" si="7"/>
        <v>0</v>
      </c>
      <c r="M39" s="140">
        <f t="shared" si="7"/>
        <v>0</v>
      </c>
      <c r="N39" s="140">
        <f t="shared" si="7"/>
        <v>0</v>
      </c>
      <c r="O39" s="140">
        <f t="shared" si="7"/>
        <v>0</v>
      </c>
      <c r="P39" s="140">
        <f>P33-P34-P36-P38-P37-P35</f>
        <v>0</v>
      </c>
      <c r="Q39" s="140">
        <f>Q33-Q34-Q36-Q38-Q37-Q35</f>
        <v>0</v>
      </c>
      <c r="R39" s="140">
        <f t="shared" si="7"/>
        <v>0</v>
      </c>
      <c r="S39" s="140">
        <f t="shared" si="7"/>
        <v>0</v>
      </c>
      <c r="T39" s="140">
        <f t="shared" si="7"/>
        <v>0</v>
      </c>
      <c r="U39" s="140">
        <f t="shared" si="7"/>
        <v>0</v>
      </c>
      <c r="V39" s="140">
        <f t="shared" si="7"/>
        <v>0</v>
      </c>
      <c r="W39" s="140">
        <f>W33-W34-W36-W38-W37-W35</f>
        <v>0</v>
      </c>
      <c r="X39" s="140">
        <f>X33-X34-X36-X38-X37-X35</f>
        <v>0</v>
      </c>
      <c r="Y39" s="140">
        <f t="shared" si="7"/>
        <v>0</v>
      </c>
      <c r="Z39" s="140">
        <f t="shared" si="7"/>
        <v>0</v>
      </c>
      <c r="AA39" s="140">
        <f t="shared" si="7"/>
        <v>0</v>
      </c>
      <c r="AB39" s="140">
        <f t="shared" si="7"/>
        <v>0</v>
      </c>
      <c r="AC39" s="140">
        <f t="shared" si="7"/>
        <v>0</v>
      </c>
      <c r="AD39" s="140">
        <f>AD33-AD34-AD36-AD38-AD37-AD35</f>
        <v>0</v>
      </c>
      <c r="AE39" s="140">
        <f>AE33-AE34-AE36-AE38-AE37-AE35</f>
        <v>0</v>
      </c>
      <c r="AF39" s="140">
        <f t="shared" si="7"/>
        <v>0</v>
      </c>
      <c r="AG39" s="140">
        <f t="shared" si="7"/>
        <v>0</v>
      </c>
      <c r="AH39" s="140">
        <f t="shared" si="7"/>
        <v>0</v>
      </c>
      <c r="AI39" s="140">
        <f t="shared" si="7"/>
        <v>0</v>
      </c>
      <c r="AJ39" s="140">
        <f t="shared" si="7"/>
        <v>0</v>
      </c>
      <c r="AK39" s="140">
        <f t="shared" si="7"/>
        <v>0</v>
      </c>
      <c r="AL39" s="140">
        <f t="shared" si="7"/>
        <v>0</v>
      </c>
      <c r="AM39" s="140">
        <f t="shared" si="7"/>
        <v>0</v>
      </c>
      <c r="AN39" s="140"/>
      <c r="AO39" s="140">
        <f t="shared" si="1"/>
        <v>0</v>
      </c>
      <c r="AP39" s="140">
        <f>AP33-AP34-AP36-AP38-AP35-AP37</f>
        <v>214.80000000000072</v>
      </c>
      <c r="AR39" s="143"/>
    </row>
    <row r="40" spans="1:44" s="142" customFormat="1" ht="15" customHeight="1">
      <c r="A40" s="138" t="s">
        <v>29</v>
      </c>
      <c r="B40" s="139">
        <v>1392.9</v>
      </c>
      <c r="C40" s="139">
        <v>501.70000000000005</v>
      </c>
      <c r="D40" s="140"/>
      <c r="E40" s="140">
        <v>14.3</v>
      </c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>
        <f t="shared" si="1"/>
        <v>14.3</v>
      </c>
      <c r="AP40" s="140">
        <f aca="true" t="shared" si="8" ref="AP40:AP45">B40+C40-AO40</f>
        <v>1880.3000000000002</v>
      </c>
      <c r="AR40" s="143"/>
    </row>
    <row r="41" spans="1:44" s="142" customFormat="1" ht="15.75">
      <c r="A41" s="144" t="s">
        <v>5</v>
      </c>
      <c r="B41" s="139">
        <v>1304.7</v>
      </c>
      <c r="C41" s="139">
        <v>282.6999999999998</v>
      </c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>
        <f t="shared" si="1"/>
        <v>0</v>
      </c>
      <c r="AP41" s="140">
        <f t="shared" si="8"/>
        <v>1587.3999999999999</v>
      </c>
      <c r="AQ41" s="143"/>
      <c r="AR41" s="143"/>
    </row>
    <row r="42" spans="1:44" s="142" customFormat="1" ht="15.75">
      <c r="A42" s="144" t="s">
        <v>3</v>
      </c>
      <c r="B42" s="139"/>
      <c r="C42" s="139">
        <v>0</v>
      </c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>
        <f t="shared" si="1"/>
        <v>0</v>
      </c>
      <c r="AP42" s="140">
        <f t="shared" si="8"/>
        <v>0</v>
      </c>
      <c r="AR42" s="143"/>
    </row>
    <row r="43" spans="1:44" s="142" customFormat="1" ht="15.75">
      <c r="A43" s="144" t="s">
        <v>1</v>
      </c>
      <c r="B43" s="139"/>
      <c r="C43" s="139">
        <v>5.200000000000005</v>
      </c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>
        <f t="shared" si="1"/>
        <v>0</v>
      </c>
      <c r="AP43" s="140">
        <f t="shared" si="8"/>
        <v>5.200000000000005</v>
      </c>
      <c r="AR43" s="143"/>
    </row>
    <row r="44" spans="1:44" s="142" customFormat="1" ht="15.75">
      <c r="A44" s="144" t="s">
        <v>2</v>
      </c>
      <c r="B44" s="139">
        <f>8.3-0.1-10</f>
        <v>-1.799999999999999</v>
      </c>
      <c r="C44" s="139">
        <v>166.00000000000006</v>
      </c>
      <c r="D44" s="140"/>
      <c r="E44" s="140">
        <v>1.7</v>
      </c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>
        <f t="shared" si="1"/>
        <v>1.7</v>
      </c>
      <c r="AP44" s="140">
        <f t="shared" si="8"/>
        <v>162.50000000000006</v>
      </c>
      <c r="AR44" s="143"/>
    </row>
    <row r="45" spans="1:44" s="142" customFormat="1" ht="15.75" hidden="1">
      <c r="A45" s="144" t="s">
        <v>15</v>
      </c>
      <c r="B45" s="139"/>
      <c r="C45" s="139">
        <v>0</v>
      </c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>
        <f t="shared" si="1"/>
        <v>0</v>
      </c>
      <c r="AP45" s="140">
        <f t="shared" si="8"/>
        <v>0</v>
      </c>
      <c r="AR45" s="143"/>
    </row>
    <row r="46" spans="1:44" s="142" customFormat="1" ht="15.75">
      <c r="A46" s="144" t="s">
        <v>23</v>
      </c>
      <c r="B46" s="139">
        <f aca="true" t="shared" si="9" ref="B46:AM46">B40-B41-B42-B43-B44-B45</f>
        <v>90.00000000000004</v>
      </c>
      <c r="C46" s="139">
        <v>47.80000000000015</v>
      </c>
      <c r="D46" s="140">
        <f t="shared" si="9"/>
        <v>0</v>
      </c>
      <c r="E46" s="140">
        <f t="shared" si="9"/>
        <v>12.600000000000001</v>
      </c>
      <c r="F46" s="140">
        <v>0</v>
      </c>
      <c r="G46" s="140">
        <f t="shared" si="9"/>
        <v>0</v>
      </c>
      <c r="H46" s="140">
        <f>H40-H41-H42-H43-H44-H45</f>
        <v>0</v>
      </c>
      <c r="I46" s="140">
        <f>I40-I41-I42-I43-I44-I45</f>
        <v>0</v>
      </c>
      <c r="J46" s="140">
        <f>J40-J41-J42-J43-J44-J45</f>
        <v>0</v>
      </c>
      <c r="K46" s="140">
        <f t="shared" si="9"/>
        <v>0</v>
      </c>
      <c r="L46" s="140">
        <f t="shared" si="9"/>
        <v>0</v>
      </c>
      <c r="M46" s="140">
        <f t="shared" si="9"/>
        <v>0</v>
      </c>
      <c r="N46" s="140">
        <f t="shared" si="9"/>
        <v>0</v>
      </c>
      <c r="O46" s="140">
        <f t="shared" si="9"/>
        <v>0</v>
      </c>
      <c r="P46" s="140">
        <f>P40-P41-P42-P43-P44-P45</f>
        <v>0</v>
      </c>
      <c r="Q46" s="140">
        <f>Q40-Q41-Q42-Q43-Q44-Q45</f>
        <v>0</v>
      </c>
      <c r="R46" s="140">
        <f t="shared" si="9"/>
        <v>0</v>
      </c>
      <c r="S46" s="140">
        <f t="shared" si="9"/>
        <v>0</v>
      </c>
      <c r="T46" s="140">
        <f t="shared" si="9"/>
        <v>0</v>
      </c>
      <c r="U46" s="140">
        <f t="shared" si="9"/>
        <v>0</v>
      </c>
      <c r="V46" s="140">
        <f t="shared" si="9"/>
        <v>0</v>
      </c>
      <c r="W46" s="140">
        <f>W40-W41-W42-W43-W44-W45</f>
        <v>0</v>
      </c>
      <c r="X46" s="140">
        <f>X40-X41-X42-X43-X44-X45</f>
        <v>0</v>
      </c>
      <c r="Y46" s="140">
        <f t="shared" si="9"/>
        <v>0</v>
      </c>
      <c r="Z46" s="140">
        <f t="shared" si="9"/>
        <v>0</v>
      </c>
      <c r="AA46" s="140">
        <f t="shared" si="9"/>
        <v>0</v>
      </c>
      <c r="AB46" s="140">
        <f t="shared" si="9"/>
        <v>0</v>
      </c>
      <c r="AC46" s="140">
        <f t="shared" si="9"/>
        <v>0</v>
      </c>
      <c r="AD46" s="140">
        <f>AD40-AD41-AD42-AD43-AD44-AD45</f>
        <v>0</v>
      </c>
      <c r="AE46" s="140">
        <f>AE40-AE41-AE42-AE43-AE44-AE45</f>
        <v>0</v>
      </c>
      <c r="AF46" s="140">
        <f t="shared" si="9"/>
        <v>0</v>
      </c>
      <c r="AG46" s="140">
        <f t="shared" si="9"/>
        <v>0</v>
      </c>
      <c r="AH46" s="140">
        <f t="shared" si="9"/>
        <v>0</v>
      </c>
      <c r="AI46" s="140">
        <f t="shared" si="9"/>
        <v>0</v>
      </c>
      <c r="AJ46" s="140">
        <f t="shared" si="9"/>
        <v>0</v>
      </c>
      <c r="AK46" s="140">
        <f t="shared" si="9"/>
        <v>0</v>
      </c>
      <c r="AL46" s="140">
        <f t="shared" si="9"/>
        <v>0</v>
      </c>
      <c r="AM46" s="140">
        <f t="shared" si="9"/>
        <v>0</v>
      </c>
      <c r="AN46" s="140"/>
      <c r="AO46" s="140">
        <f t="shared" si="1"/>
        <v>12.600000000000001</v>
      </c>
      <c r="AP46" s="140">
        <f>AP40-AP41-AP42-AP43-AP44-AP45</f>
        <v>125.20000000000027</v>
      </c>
      <c r="AR46" s="143"/>
    </row>
    <row r="47" spans="1:44" s="142" customFormat="1" ht="17.25" customHeight="1">
      <c r="A47" s="138" t="s">
        <v>43</v>
      </c>
      <c r="B47" s="145">
        <f>5978.1-685-30.3</f>
        <v>5262.8</v>
      </c>
      <c r="C47" s="139">
        <v>7265.4000000000015</v>
      </c>
      <c r="D47" s="140"/>
      <c r="E47" s="154">
        <v>37</v>
      </c>
      <c r="F47" s="154"/>
      <c r="G47" s="154"/>
      <c r="H47" s="154">
        <v>1995.6</v>
      </c>
      <c r="I47" s="154">
        <v>81.4</v>
      </c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40">
        <f t="shared" si="1"/>
        <v>2114</v>
      </c>
      <c r="AP47" s="140">
        <f>B47+C47-AO47</f>
        <v>10414.2</v>
      </c>
      <c r="AR47" s="143"/>
    </row>
    <row r="48" spans="1:44" s="142" customFormat="1" ht="15.75">
      <c r="A48" s="144" t="s">
        <v>5</v>
      </c>
      <c r="B48" s="139">
        <v>54.4</v>
      </c>
      <c r="C48" s="139">
        <v>99.20000000000002</v>
      </c>
      <c r="D48" s="140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40">
        <f t="shared" si="1"/>
        <v>0</v>
      </c>
      <c r="AP48" s="140">
        <f>B48+C48-AO48</f>
        <v>153.60000000000002</v>
      </c>
      <c r="AR48" s="143"/>
    </row>
    <row r="49" spans="1:44" s="142" customFormat="1" ht="15.75">
      <c r="A49" s="144" t="s">
        <v>16</v>
      </c>
      <c r="B49" s="139">
        <f>5250-685-30.3</f>
        <v>4534.7</v>
      </c>
      <c r="C49" s="139">
        <v>5970.100000000002</v>
      </c>
      <c r="D49" s="140"/>
      <c r="E49" s="140"/>
      <c r="F49" s="140"/>
      <c r="G49" s="140"/>
      <c r="H49" s="140">
        <f>1995.6-30.9</f>
        <v>1964.6999999999998</v>
      </c>
      <c r="I49" s="140">
        <v>66.5</v>
      </c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>
        <f t="shared" si="1"/>
        <v>2031.1999999999998</v>
      </c>
      <c r="AP49" s="140">
        <f>B49+C49-AO49</f>
        <v>8473.600000000002</v>
      </c>
      <c r="AR49" s="143"/>
    </row>
    <row r="50" spans="1:44" s="142" customFormat="1" ht="30" hidden="1">
      <c r="A50" s="155" t="s">
        <v>34</v>
      </c>
      <c r="B50" s="139"/>
      <c r="C50" s="139">
        <v>0</v>
      </c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>
        <f t="shared" si="1"/>
        <v>0</v>
      </c>
      <c r="AP50" s="140">
        <f>B50+C50-AO50</f>
        <v>0</v>
      </c>
      <c r="AR50" s="143"/>
    </row>
    <row r="51" spans="1:44" s="142" customFormat="1" ht="15.75">
      <c r="A51" s="156" t="s">
        <v>23</v>
      </c>
      <c r="B51" s="139">
        <f aca="true" t="shared" si="10" ref="B51:AM51">B47-B48-B49</f>
        <v>673.7000000000007</v>
      </c>
      <c r="C51" s="139">
        <v>1196.0999999999992</v>
      </c>
      <c r="D51" s="140">
        <f t="shared" si="10"/>
        <v>0</v>
      </c>
      <c r="E51" s="140">
        <f t="shared" si="10"/>
        <v>37</v>
      </c>
      <c r="F51" s="140">
        <f t="shared" si="10"/>
        <v>0</v>
      </c>
      <c r="G51" s="140">
        <f t="shared" si="10"/>
        <v>0</v>
      </c>
      <c r="H51" s="140">
        <f>H47-H48-H49</f>
        <v>30.90000000000009</v>
      </c>
      <c r="I51" s="140">
        <f>I47-I48-I49</f>
        <v>14.900000000000006</v>
      </c>
      <c r="J51" s="140">
        <f>J47-J48-J49</f>
        <v>0</v>
      </c>
      <c r="K51" s="140">
        <f t="shared" si="10"/>
        <v>0</v>
      </c>
      <c r="L51" s="140">
        <f t="shared" si="10"/>
        <v>0</v>
      </c>
      <c r="M51" s="140">
        <f t="shared" si="10"/>
        <v>0</v>
      </c>
      <c r="N51" s="140">
        <f t="shared" si="10"/>
        <v>0</v>
      </c>
      <c r="O51" s="140">
        <f t="shared" si="10"/>
        <v>0</v>
      </c>
      <c r="P51" s="140">
        <f>P47-P48-P49</f>
        <v>0</v>
      </c>
      <c r="Q51" s="140">
        <f>Q47-Q48-Q49</f>
        <v>0</v>
      </c>
      <c r="R51" s="140">
        <f t="shared" si="10"/>
        <v>0</v>
      </c>
      <c r="S51" s="140">
        <f t="shared" si="10"/>
        <v>0</v>
      </c>
      <c r="T51" s="140">
        <f t="shared" si="10"/>
        <v>0</v>
      </c>
      <c r="U51" s="140">
        <f t="shared" si="10"/>
        <v>0</v>
      </c>
      <c r="V51" s="140">
        <f t="shared" si="10"/>
        <v>0</v>
      </c>
      <c r="W51" s="140">
        <f>W47-W48-W49</f>
        <v>0</v>
      </c>
      <c r="X51" s="140">
        <f>X47-X48-X49</f>
        <v>0</v>
      </c>
      <c r="Y51" s="140">
        <f t="shared" si="10"/>
        <v>0</v>
      </c>
      <c r="Z51" s="140">
        <f t="shared" si="10"/>
        <v>0</v>
      </c>
      <c r="AA51" s="140">
        <f t="shared" si="10"/>
        <v>0</v>
      </c>
      <c r="AB51" s="140">
        <f t="shared" si="10"/>
        <v>0</v>
      </c>
      <c r="AC51" s="140">
        <f t="shared" si="10"/>
        <v>0</v>
      </c>
      <c r="AD51" s="140">
        <f>AD47-AD48-AD49</f>
        <v>0</v>
      </c>
      <c r="AE51" s="140">
        <f>AE47-AE48-AE49</f>
        <v>0</v>
      </c>
      <c r="AF51" s="140">
        <f t="shared" si="10"/>
        <v>0</v>
      </c>
      <c r="AG51" s="140">
        <f t="shared" si="10"/>
        <v>0</v>
      </c>
      <c r="AH51" s="140">
        <f t="shared" si="10"/>
        <v>0</v>
      </c>
      <c r="AI51" s="140">
        <f t="shared" si="10"/>
        <v>0</v>
      </c>
      <c r="AJ51" s="140">
        <f t="shared" si="10"/>
        <v>0</v>
      </c>
      <c r="AK51" s="140">
        <f t="shared" si="10"/>
        <v>0</v>
      </c>
      <c r="AL51" s="140">
        <f t="shared" si="10"/>
        <v>0</v>
      </c>
      <c r="AM51" s="140">
        <f t="shared" si="10"/>
        <v>0</v>
      </c>
      <c r="AN51" s="140"/>
      <c r="AO51" s="140">
        <f t="shared" si="1"/>
        <v>82.8000000000001</v>
      </c>
      <c r="AP51" s="140">
        <f>AP47-AP49-AP48</f>
        <v>1786.9999999999986</v>
      </c>
      <c r="AR51" s="143"/>
    </row>
    <row r="52" spans="1:44" s="142" customFormat="1" ht="15" customHeight="1">
      <c r="A52" s="138" t="s">
        <v>0</v>
      </c>
      <c r="B52" s="139">
        <f>9413.3+3259.9</f>
        <v>12673.199999999999</v>
      </c>
      <c r="C52" s="139">
        <v>9860.999999999996</v>
      </c>
      <c r="D52" s="140"/>
      <c r="E52" s="140"/>
      <c r="F52" s="140"/>
      <c r="G52" s="140"/>
      <c r="H52" s="140">
        <v>127.4</v>
      </c>
      <c r="I52" s="140">
        <v>3281.8</v>
      </c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>
        <f t="shared" si="1"/>
        <v>3409.2000000000003</v>
      </c>
      <c r="AP52" s="140">
        <f aca="true" t="shared" si="11" ref="AP52:AP59">B52+C52-AO52</f>
        <v>19124.999999999996</v>
      </c>
      <c r="AR52" s="143"/>
    </row>
    <row r="53" spans="1:44" s="142" customFormat="1" ht="15" customHeight="1">
      <c r="A53" s="144" t="s">
        <v>2</v>
      </c>
      <c r="B53" s="139">
        <v>1582</v>
      </c>
      <c r="C53" s="139">
        <v>1373.6999999999998</v>
      </c>
      <c r="D53" s="140"/>
      <c r="E53" s="140"/>
      <c r="F53" s="140"/>
      <c r="G53" s="140"/>
      <c r="H53" s="140">
        <v>127.4</v>
      </c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>
        <f t="shared" si="1"/>
        <v>127.4</v>
      </c>
      <c r="AP53" s="140">
        <f t="shared" si="11"/>
        <v>2828.2999999999997</v>
      </c>
      <c r="AR53" s="143"/>
    </row>
    <row r="54" spans="1:44" s="142" customFormat="1" ht="15" customHeight="1">
      <c r="A54" s="138" t="s">
        <v>9</v>
      </c>
      <c r="B54" s="153">
        <v>2663.3</v>
      </c>
      <c r="C54" s="139">
        <v>1589.0000000000002</v>
      </c>
      <c r="D54" s="140"/>
      <c r="E54" s="140">
        <v>24.5</v>
      </c>
      <c r="F54" s="140"/>
      <c r="G54" s="140"/>
      <c r="H54" s="140"/>
      <c r="I54" s="140">
        <v>239.8</v>
      </c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>
        <f t="shared" si="1"/>
        <v>264.3</v>
      </c>
      <c r="AP54" s="140">
        <f t="shared" si="11"/>
        <v>3988</v>
      </c>
      <c r="AQ54" s="143"/>
      <c r="AR54" s="143"/>
    </row>
    <row r="55" spans="1:44" s="142" customFormat="1" ht="15.75">
      <c r="A55" s="144" t="s">
        <v>5</v>
      </c>
      <c r="B55" s="139">
        <f>1176.9+21</f>
        <v>1197.9</v>
      </c>
      <c r="C55" s="139">
        <v>343.1999999999998</v>
      </c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>
        <f t="shared" si="1"/>
        <v>0</v>
      </c>
      <c r="AP55" s="140">
        <f t="shared" si="11"/>
        <v>1541.1</v>
      </c>
      <c r="AQ55" s="143"/>
      <c r="AR55" s="143"/>
    </row>
    <row r="56" spans="1:44" s="142" customFormat="1" ht="15" customHeight="1">
      <c r="A56" s="144" t="s">
        <v>1</v>
      </c>
      <c r="B56" s="139"/>
      <c r="C56" s="139">
        <v>0</v>
      </c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>
        <f t="shared" si="1"/>
        <v>0</v>
      </c>
      <c r="AP56" s="140">
        <f t="shared" si="11"/>
        <v>0</v>
      </c>
      <c r="AQ56" s="143"/>
      <c r="AR56" s="143"/>
    </row>
    <row r="57" spans="1:44" s="142" customFormat="1" ht="15.75">
      <c r="A57" s="144" t="s">
        <v>2</v>
      </c>
      <c r="B57" s="145">
        <v>23.4</v>
      </c>
      <c r="C57" s="139">
        <v>195.59999999999994</v>
      </c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>
        <f t="shared" si="1"/>
        <v>0</v>
      </c>
      <c r="AP57" s="140">
        <f t="shared" si="11"/>
        <v>218.99999999999994</v>
      </c>
      <c r="AR57" s="143"/>
    </row>
    <row r="58" spans="1:44" s="142" customFormat="1" ht="15.75">
      <c r="A58" s="144" t="s">
        <v>16</v>
      </c>
      <c r="B58" s="145"/>
      <c r="C58" s="139">
        <v>19.799999999999997</v>
      </c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>
        <f t="shared" si="1"/>
        <v>0</v>
      </c>
      <c r="AP58" s="140">
        <f t="shared" si="11"/>
        <v>19.799999999999997</v>
      </c>
      <c r="AR58" s="143"/>
    </row>
    <row r="59" spans="1:44" s="142" customFormat="1" ht="15.75" hidden="1">
      <c r="A59" s="144" t="s">
        <v>15</v>
      </c>
      <c r="B59" s="139"/>
      <c r="C59" s="139">
        <v>0</v>
      </c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>
        <f t="shared" si="1"/>
        <v>0</v>
      </c>
      <c r="AP59" s="140">
        <f t="shared" si="11"/>
        <v>0</v>
      </c>
      <c r="AR59" s="143"/>
    </row>
    <row r="60" spans="1:44" s="142" customFormat="1" ht="15.75">
      <c r="A60" s="144" t="s">
        <v>23</v>
      </c>
      <c r="B60" s="139">
        <f>B54-B55-B57-B59-B56-B58</f>
        <v>1442</v>
      </c>
      <c r="C60" s="139">
        <v>1030.4000000000005</v>
      </c>
      <c r="D60" s="140">
        <f aca="true" t="shared" si="12" ref="D60:AM60">D54-D55-D57-D59-D56-D58</f>
        <v>0</v>
      </c>
      <c r="E60" s="140">
        <f t="shared" si="12"/>
        <v>24.5</v>
      </c>
      <c r="F60" s="140">
        <f t="shared" si="12"/>
        <v>0</v>
      </c>
      <c r="G60" s="140">
        <f t="shared" si="12"/>
        <v>0</v>
      </c>
      <c r="H60" s="140">
        <f t="shared" si="12"/>
        <v>0</v>
      </c>
      <c r="I60" s="140">
        <f t="shared" si="12"/>
        <v>239.8</v>
      </c>
      <c r="J60" s="140">
        <f t="shared" si="12"/>
        <v>0</v>
      </c>
      <c r="K60" s="140">
        <f t="shared" si="12"/>
        <v>0</v>
      </c>
      <c r="L60" s="140">
        <f t="shared" si="12"/>
        <v>0</v>
      </c>
      <c r="M60" s="140">
        <f t="shared" si="12"/>
        <v>0</v>
      </c>
      <c r="N60" s="140">
        <f t="shared" si="12"/>
        <v>0</v>
      </c>
      <c r="O60" s="140">
        <f t="shared" si="12"/>
        <v>0</v>
      </c>
      <c r="P60" s="140">
        <f t="shared" si="12"/>
        <v>0</v>
      </c>
      <c r="Q60" s="140">
        <f t="shared" si="12"/>
        <v>0</v>
      </c>
      <c r="R60" s="140">
        <f t="shared" si="12"/>
        <v>0</v>
      </c>
      <c r="S60" s="140">
        <f t="shared" si="12"/>
        <v>0</v>
      </c>
      <c r="T60" s="140">
        <f t="shared" si="12"/>
        <v>0</v>
      </c>
      <c r="U60" s="140">
        <f t="shared" si="12"/>
        <v>0</v>
      </c>
      <c r="V60" s="140">
        <f t="shared" si="12"/>
        <v>0</v>
      </c>
      <c r="W60" s="140">
        <f t="shared" si="12"/>
        <v>0</v>
      </c>
      <c r="X60" s="140">
        <f t="shared" si="12"/>
        <v>0</v>
      </c>
      <c r="Y60" s="140">
        <f t="shared" si="12"/>
        <v>0</v>
      </c>
      <c r="Z60" s="140">
        <f t="shared" si="12"/>
        <v>0</v>
      </c>
      <c r="AA60" s="140">
        <f t="shared" si="12"/>
        <v>0</v>
      </c>
      <c r="AB60" s="140">
        <f t="shared" si="12"/>
        <v>0</v>
      </c>
      <c r="AC60" s="140">
        <f t="shared" si="12"/>
        <v>0</v>
      </c>
      <c r="AD60" s="140">
        <f t="shared" si="12"/>
        <v>0</v>
      </c>
      <c r="AE60" s="140">
        <f t="shared" si="12"/>
        <v>0</v>
      </c>
      <c r="AF60" s="140">
        <f t="shared" si="12"/>
        <v>0</v>
      </c>
      <c r="AG60" s="140">
        <f t="shared" si="12"/>
        <v>0</v>
      </c>
      <c r="AH60" s="140">
        <f t="shared" si="12"/>
        <v>0</v>
      </c>
      <c r="AI60" s="140">
        <f t="shared" si="12"/>
        <v>0</v>
      </c>
      <c r="AJ60" s="140">
        <f t="shared" si="12"/>
        <v>0</v>
      </c>
      <c r="AK60" s="140">
        <f t="shared" si="12"/>
        <v>0</v>
      </c>
      <c r="AL60" s="140">
        <f t="shared" si="12"/>
        <v>0</v>
      </c>
      <c r="AM60" s="140">
        <f t="shared" si="12"/>
        <v>0</v>
      </c>
      <c r="AN60" s="140"/>
      <c r="AO60" s="140">
        <f>AO54-AO55-AO57-AO59-AO56-AO58</f>
        <v>264.3</v>
      </c>
      <c r="AP60" s="140">
        <f>AP54-AP55-AP57-AP59-AP56-AP58</f>
        <v>2208.1</v>
      </c>
      <c r="AR60" s="143"/>
    </row>
    <row r="61" spans="1:44" s="142" customFormat="1" ht="15" customHeight="1">
      <c r="A61" s="138" t="s">
        <v>10</v>
      </c>
      <c r="B61" s="139">
        <v>123.5</v>
      </c>
      <c r="C61" s="139">
        <v>175.19999999999996</v>
      </c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>
        <f aca="true" t="shared" si="13" ref="AO61:AO92">SUM(D61:AM61)</f>
        <v>0</v>
      </c>
      <c r="AP61" s="140">
        <f aca="true" t="shared" si="14" ref="AP61:AP67">B61+C61-AO61</f>
        <v>298.69999999999993</v>
      </c>
      <c r="AR61" s="143"/>
    </row>
    <row r="62" spans="1:44" s="142" customFormat="1" ht="15" customHeight="1">
      <c r="A62" s="138" t="s">
        <v>11</v>
      </c>
      <c r="B62" s="139">
        <f>4272.1-221.7</f>
        <v>4050.4000000000005</v>
      </c>
      <c r="C62" s="139">
        <v>7310.300000000001</v>
      </c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  <c r="AK62" s="140"/>
      <c r="AL62" s="140"/>
      <c r="AM62" s="140"/>
      <c r="AN62" s="140"/>
      <c r="AO62" s="140">
        <f t="shared" si="13"/>
        <v>0</v>
      </c>
      <c r="AP62" s="140">
        <f t="shared" si="14"/>
        <v>11360.7</v>
      </c>
      <c r="AR62" s="143"/>
    </row>
    <row r="63" spans="1:44" s="142" customFormat="1" ht="15.75">
      <c r="A63" s="144" t="s">
        <v>5</v>
      </c>
      <c r="B63" s="139">
        <v>1840.9</v>
      </c>
      <c r="C63" s="139">
        <v>1736.4999999999993</v>
      </c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>
        <f t="shared" si="13"/>
        <v>0</v>
      </c>
      <c r="AP63" s="140">
        <f t="shared" si="14"/>
        <v>3577.3999999999996</v>
      </c>
      <c r="AQ63" s="157"/>
      <c r="AR63" s="143"/>
    </row>
    <row r="64" spans="1:44" s="142" customFormat="1" ht="15.75">
      <c r="A64" s="144" t="s">
        <v>3</v>
      </c>
      <c r="B64" s="139">
        <v>6.2</v>
      </c>
      <c r="C64" s="139">
        <v>0</v>
      </c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>
        <f t="shared" si="13"/>
        <v>0</v>
      </c>
      <c r="AP64" s="140">
        <f t="shared" si="14"/>
        <v>6.2</v>
      </c>
      <c r="AQ64" s="143"/>
      <c r="AR64" s="143"/>
    </row>
    <row r="65" spans="1:44" s="142" customFormat="1" ht="15.75">
      <c r="A65" s="144" t="s">
        <v>1</v>
      </c>
      <c r="B65" s="139">
        <f>483.1-140</f>
        <v>343.1</v>
      </c>
      <c r="C65" s="139">
        <v>1044.3</v>
      </c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/>
      <c r="AF65" s="140"/>
      <c r="AG65" s="140"/>
      <c r="AH65" s="140"/>
      <c r="AI65" s="140"/>
      <c r="AJ65" s="140"/>
      <c r="AK65" s="140"/>
      <c r="AL65" s="140"/>
      <c r="AM65" s="140"/>
      <c r="AN65" s="140"/>
      <c r="AO65" s="140">
        <f t="shared" si="13"/>
        <v>0</v>
      </c>
      <c r="AP65" s="140">
        <f t="shared" si="14"/>
        <v>1387.4</v>
      </c>
      <c r="AQ65" s="143"/>
      <c r="AR65" s="143"/>
    </row>
    <row r="66" spans="1:44" s="142" customFormat="1" ht="15.75">
      <c r="A66" s="144" t="s">
        <v>2</v>
      </c>
      <c r="B66" s="139">
        <v>43.3</v>
      </c>
      <c r="C66" s="139">
        <v>127.09999999999997</v>
      </c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>
        <f t="shared" si="13"/>
        <v>0</v>
      </c>
      <c r="AP66" s="140">
        <f t="shared" si="14"/>
        <v>170.39999999999998</v>
      </c>
      <c r="AR66" s="143"/>
    </row>
    <row r="67" spans="1:44" s="142" customFormat="1" ht="15.75">
      <c r="A67" s="144" t="s">
        <v>16</v>
      </c>
      <c r="B67" s="139">
        <v>308</v>
      </c>
      <c r="C67" s="139">
        <v>933.7</v>
      </c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>
        <f t="shared" si="13"/>
        <v>0</v>
      </c>
      <c r="AP67" s="140">
        <f t="shared" si="14"/>
        <v>1241.7</v>
      </c>
      <c r="AR67" s="143"/>
    </row>
    <row r="68" spans="1:44" s="142" customFormat="1" ht="15.75">
      <c r="A68" s="144" t="s">
        <v>23</v>
      </c>
      <c r="B68" s="139">
        <f aca="true" t="shared" si="15" ref="B68:AM68">B62-B63-B66-B67-B65-B64</f>
        <v>1508.9000000000003</v>
      </c>
      <c r="C68" s="139">
        <v>3468.7000000000016</v>
      </c>
      <c r="D68" s="140">
        <f t="shared" si="15"/>
        <v>0</v>
      </c>
      <c r="E68" s="140">
        <f t="shared" si="15"/>
        <v>0</v>
      </c>
      <c r="F68" s="140">
        <f t="shared" si="15"/>
        <v>0</v>
      </c>
      <c r="G68" s="140">
        <f t="shared" si="15"/>
        <v>0</v>
      </c>
      <c r="H68" s="140">
        <f>H62-H63-H66-H67-H65-H64</f>
        <v>0</v>
      </c>
      <c r="I68" s="140">
        <f>I62-I63-I66-I67-I65-I64</f>
        <v>0</v>
      </c>
      <c r="J68" s="140">
        <f>J62-J63-J66-J67-J65-J64</f>
        <v>0</v>
      </c>
      <c r="K68" s="140">
        <f t="shared" si="15"/>
        <v>0</v>
      </c>
      <c r="L68" s="140">
        <f t="shared" si="15"/>
        <v>0</v>
      </c>
      <c r="M68" s="140">
        <f t="shared" si="15"/>
        <v>0</v>
      </c>
      <c r="N68" s="140">
        <f t="shared" si="15"/>
        <v>0</v>
      </c>
      <c r="O68" s="140">
        <f t="shared" si="15"/>
        <v>0</v>
      </c>
      <c r="P68" s="140">
        <f>P62-P63-P66-P67-P65-P64</f>
        <v>0</v>
      </c>
      <c r="Q68" s="140">
        <f>Q62-Q63-Q66-Q67-Q65-Q64</f>
        <v>0</v>
      </c>
      <c r="R68" s="140">
        <f t="shared" si="15"/>
        <v>0</v>
      </c>
      <c r="S68" s="140">
        <f t="shared" si="15"/>
        <v>0</v>
      </c>
      <c r="T68" s="140">
        <f t="shared" si="15"/>
        <v>0</v>
      </c>
      <c r="U68" s="140">
        <f t="shared" si="15"/>
        <v>0</v>
      </c>
      <c r="V68" s="140">
        <f t="shared" si="15"/>
        <v>0</v>
      </c>
      <c r="W68" s="140">
        <f>W62-W63-W66-W67-W65-W64</f>
        <v>0</v>
      </c>
      <c r="X68" s="140">
        <f>X62-X63-X66-X67-X65-X64</f>
        <v>0</v>
      </c>
      <c r="Y68" s="140">
        <f t="shared" si="15"/>
        <v>0</v>
      </c>
      <c r="Z68" s="140">
        <f t="shared" si="15"/>
        <v>0</v>
      </c>
      <c r="AA68" s="140">
        <f t="shared" si="15"/>
        <v>0</v>
      </c>
      <c r="AB68" s="140">
        <f t="shared" si="15"/>
        <v>0</v>
      </c>
      <c r="AC68" s="140">
        <f t="shared" si="15"/>
        <v>0</v>
      </c>
      <c r="AD68" s="140">
        <f>AD62-AD63-AD66-AD67-AD65-AD64</f>
        <v>0</v>
      </c>
      <c r="AE68" s="140">
        <f>AE62-AE63-AE66-AE67-AE65-AE64</f>
        <v>0</v>
      </c>
      <c r="AF68" s="140">
        <f t="shared" si="15"/>
        <v>0</v>
      </c>
      <c r="AG68" s="140">
        <f t="shared" si="15"/>
        <v>0</v>
      </c>
      <c r="AH68" s="140">
        <f t="shared" si="15"/>
        <v>0</v>
      </c>
      <c r="AI68" s="140">
        <f t="shared" si="15"/>
        <v>0</v>
      </c>
      <c r="AJ68" s="140">
        <f t="shared" si="15"/>
        <v>0</v>
      </c>
      <c r="AK68" s="140">
        <f t="shared" si="15"/>
        <v>0</v>
      </c>
      <c r="AL68" s="140">
        <f t="shared" si="15"/>
        <v>0</v>
      </c>
      <c r="AM68" s="140">
        <f t="shared" si="15"/>
        <v>0</v>
      </c>
      <c r="AN68" s="140"/>
      <c r="AO68" s="140">
        <f t="shared" si="13"/>
        <v>0</v>
      </c>
      <c r="AP68" s="140">
        <f>AP62-AP63-AP66-AP67-AP65-AP64</f>
        <v>4977.600000000001</v>
      </c>
      <c r="AR68" s="143"/>
    </row>
    <row r="69" spans="1:44" s="142" customFormat="1" ht="31.5">
      <c r="A69" s="138" t="s">
        <v>45</v>
      </c>
      <c r="B69" s="139">
        <v>1264.1</v>
      </c>
      <c r="C69" s="139">
        <v>132</v>
      </c>
      <c r="D69" s="140"/>
      <c r="E69" s="140"/>
      <c r="F69" s="140"/>
      <c r="G69" s="140"/>
      <c r="H69" s="140">
        <v>882.7</v>
      </c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>
        <f t="shared" si="13"/>
        <v>882.7</v>
      </c>
      <c r="AP69" s="158">
        <f aca="true" t="shared" si="16" ref="AP69:AP92">B69+C69-AO69</f>
        <v>513.3999999999999</v>
      </c>
      <c r="AR69" s="143"/>
    </row>
    <row r="70" spans="1:44" s="142" customFormat="1" ht="15.75" hidden="1">
      <c r="A70" s="138" t="s">
        <v>32</v>
      </c>
      <c r="B70" s="139"/>
      <c r="C70" s="139">
        <v>0</v>
      </c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>
        <f t="shared" si="13"/>
        <v>0</v>
      </c>
      <c r="AP70" s="158">
        <f t="shared" si="16"/>
        <v>0</v>
      </c>
      <c r="AR70" s="143"/>
    </row>
    <row r="71" spans="1:59" s="142" customFormat="1" ht="31.5">
      <c r="A71" s="138" t="s">
        <v>46</v>
      </c>
      <c r="B71" s="139">
        <v>2201.2</v>
      </c>
      <c r="C71" s="159">
        <v>221.89999999999986</v>
      </c>
      <c r="D71" s="154"/>
      <c r="E71" s="154"/>
      <c r="F71" s="154"/>
      <c r="G71" s="154"/>
      <c r="H71" s="154"/>
      <c r="I71" s="154">
        <v>685.9</v>
      </c>
      <c r="J71" s="154"/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  <c r="AH71" s="154"/>
      <c r="AI71" s="154"/>
      <c r="AJ71" s="154"/>
      <c r="AK71" s="154"/>
      <c r="AL71" s="154"/>
      <c r="AM71" s="154"/>
      <c r="AN71" s="154"/>
      <c r="AO71" s="140">
        <f t="shared" si="13"/>
        <v>685.9</v>
      </c>
      <c r="AP71" s="158">
        <f t="shared" si="16"/>
        <v>1737.1999999999994</v>
      </c>
      <c r="AQ71" s="160"/>
      <c r="AR71" s="143"/>
      <c r="AS71" s="160"/>
      <c r="AT71" s="160"/>
      <c r="AU71" s="160"/>
      <c r="AV71" s="160"/>
      <c r="AW71" s="160"/>
      <c r="AX71" s="160"/>
      <c r="AY71" s="160"/>
      <c r="AZ71" s="160"/>
      <c r="BA71" s="160"/>
      <c r="BB71" s="160"/>
      <c r="BC71" s="160"/>
      <c r="BD71" s="160"/>
      <c r="BE71" s="160"/>
      <c r="BF71" s="160"/>
      <c r="BG71" s="160"/>
    </row>
    <row r="72" spans="1:44" s="142" customFormat="1" ht="15" customHeight="1">
      <c r="A72" s="138" t="s">
        <v>47</v>
      </c>
      <c r="B72" s="153">
        <f>2408.6+0.1+195-160.5-72.4-20</f>
        <v>2350.7999999999997</v>
      </c>
      <c r="C72" s="139">
        <v>3078.6</v>
      </c>
      <c r="D72" s="140"/>
      <c r="E72" s="140"/>
      <c r="F72" s="140"/>
      <c r="G72" s="140"/>
      <c r="H72" s="140">
        <v>47</v>
      </c>
      <c r="I72" s="140">
        <v>168.2</v>
      </c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40"/>
      <c r="AA72" s="140"/>
      <c r="AB72" s="140"/>
      <c r="AC72" s="140"/>
      <c r="AD72" s="140"/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  <c r="AO72" s="140">
        <f t="shared" si="13"/>
        <v>215.2</v>
      </c>
      <c r="AP72" s="158">
        <f t="shared" si="16"/>
        <v>5214.2</v>
      </c>
      <c r="AR72" s="143"/>
    </row>
    <row r="73" spans="1:44" s="142" customFormat="1" ht="15" customHeight="1">
      <c r="A73" s="144" t="s">
        <v>5</v>
      </c>
      <c r="B73" s="139">
        <v>80.5</v>
      </c>
      <c r="C73" s="139">
        <v>0</v>
      </c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>
        <f t="shared" si="13"/>
        <v>0</v>
      </c>
      <c r="AP73" s="158">
        <f t="shared" si="16"/>
        <v>80.5</v>
      </c>
      <c r="AR73" s="143"/>
    </row>
    <row r="74" spans="1:44" s="142" customFormat="1" ht="15" customHeight="1">
      <c r="A74" s="144" t="s">
        <v>2</v>
      </c>
      <c r="B74" s="139">
        <f>88+31-0.1</f>
        <v>118.9</v>
      </c>
      <c r="C74" s="139">
        <v>639.5</v>
      </c>
      <c r="D74" s="140"/>
      <c r="E74" s="140"/>
      <c r="F74" s="140"/>
      <c r="G74" s="140"/>
      <c r="H74" s="140">
        <v>47</v>
      </c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/>
      <c r="AH74" s="140"/>
      <c r="AI74" s="140"/>
      <c r="AJ74" s="140"/>
      <c r="AK74" s="140"/>
      <c r="AL74" s="140"/>
      <c r="AM74" s="140"/>
      <c r="AN74" s="140"/>
      <c r="AO74" s="140">
        <f t="shared" si="13"/>
        <v>47</v>
      </c>
      <c r="AP74" s="158">
        <f t="shared" si="16"/>
        <v>711.4</v>
      </c>
      <c r="AR74" s="143"/>
    </row>
    <row r="75" spans="1:44" s="142" customFormat="1" ht="15" customHeight="1">
      <c r="A75" s="144" t="s">
        <v>16</v>
      </c>
      <c r="B75" s="139">
        <f>15+132.5-30</f>
        <v>117.5</v>
      </c>
      <c r="C75" s="139">
        <v>361.4</v>
      </c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/>
      <c r="AH75" s="140"/>
      <c r="AI75" s="140"/>
      <c r="AJ75" s="140"/>
      <c r="AK75" s="140"/>
      <c r="AL75" s="140"/>
      <c r="AM75" s="140"/>
      <c r="AN75" s="140"/>
      <c r="AO75" s="140">
        <f t="shared" si="13"/>
        <v>0</v>
      </c>
      <c r="AP75" s="158">
        <f t="shared" si="16"/>
        <v>478.9</v>
      </c>
      <c r="AR75" s="143"/>
    </row>
    <row r="76" spans="1:44" s="162" customFormat="1" ht="15.75">
      <c r="A76" s="161" t="s">
        <v>48</v>
      </c>
      <c r="B76" s="139">
        <f>575.7+183.6+0.1</f>
        <v>759.4000000000001</v>
      </c>
      <c r="C76" s="139">
        <v>300.5999999999999</v>
      </c>
      <c r="D76" s="140"/>
      <c r="E76" s="154"/>
      <c r="F76" s="154"/>
      <c r="G76" s="154"/>
      <c r="H76" s="154"/>
      <c r="I76" s="154"/>
      <c r="J76" s="154"/>
      <c r="K76" s="154"/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/>
      <c r="X76" s="154"/>
      <c r="Y76" s="154"/>
      <c r="Z76" s="154"/>
      <c r="AA76" s="154"/>
      <c r="AB76" s="154"/>
      <c r="AC76" s="154"/>
      <c r="AD76" s="154"/>
      <c r="AE76" s="154"/>
      <c r="AF76" s="154"/>
      <c r="AG76" s="154"/>
      <c r="AH76" s="154"/>
      <c r="AI76" s="154"/>
      <c r="AJ76" s="154"/>
      <c r="AK76" s="154"/>
      <c r="AL76" s="154"/>
      <c r="AM76" s="154"/>
      <c r="AN76" s="154"/>
      <c r="AO76" s="140">
        <f t="shared" si="13"/>
        <v>0</v>
      </c>
      <c r="AP76" s="158">
        <f t="shared" si="16"/>
        <v>1060</v>
      </c>
      <c r="AR76" s="143"/>
    </row>
    <row r="77" spans="1:44" s="162" customFormat="1" ht="15.75">
      <c r="A77" s="144" t="s">
        <v>5</v>
      </c>
      <c r="B77" s="139">
        <v>161.4</v>
      </c>
      <c r="C77" s="139">
        <v>14.799999999999983</v>
      </c>
      <c r="D77" s="140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/>
      <c r="X77" s="154"/>
      <c r="Y77" s="154"/>
      <c r="Z77" s="154"/>
      <c r="AA77" s="154"/>
      <c r="AB77" s="154"/>
      <c r="AC77" s="154"/>
      <c r="AD77" s="154"/>
      <c r="AE77" s="154"/>
      <c r="AF77" s="154"/>
      <c r="AG77" s="154"/>
      <c r="AH77" s="154"/>
      <c r="AI77" s="154"/>
      <c r="AJ77" s="154"/>
      <c r="AK77" s="154"/>
      <c r="AL77" s="154"/>
      <c r="AM77" s="154"/>
      <c r="AN77" s="154"/>
      <c r="AO77" s="140">
        <f t="shared" si="13"/>
        <v>0</v>
      </c>
      <c r="AP77" s="158">
        <f t="shared" si="16"/>
        <v>176.2</v>
      </c>
      <c r="AR77" s="143"/>
    </row>
    <row r="78" spans="1:44" s="162" customFormat="1" ht="15.75" hidden="1">
      <c r="A78" s="144" t="s">
        <v>3</v>
      </c>
      <c r="B78" s="139"/>
      <c r="C78" s="139">
        <v>0</v>
      </c>
      <c r="D78" s="140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54"/>
      <c r="AH78" s="154"/>
      <c r="AI78" s="154"/>
      <c r="AJ78" s="154"/>
      <c r="AK78" s="154"/>
      <c r="AL78" s="154"/>
      <c r="AM78" s="154"/>
      <c r="AN78" s="154"/>
      <c r="AO78" s="140">
        <f t="shared" si="13"/>
        <v>0</v>
      </c>
      <c r="AP78" s="158">
        <f t="shared" si="16"/>
        <v>0</v>
      </c>
      <c r="AR78" s="143"/>
    </row>
    <row r="79" spans="1:44" s="162" customFormat="1" ht="15.75" hidden="1">
      <c r="A79" s="144" t="s">
        <v>1</v>
      </c>
      <c r="B79" s="139"/>
      <c r="C79" s="139">
        <v>0</v>
      </c>
      <c r="D79" s="140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54"/>
      <c r="AI79" s="154"/>
      <c r="AJ79" s="154"/>
      <c r="AK79" s="154"/>
      <c r="AL79" s="154"/>
      <c r="AM79" s="154"/>
      <c r="AN79" s="154"/>
      <c r="AO79" s="140">
        <f t="shared" si="13"/>
        <v>0</v>
      </c>
      <c r="AP79" s="158">
        <f t="shared" si="16"/>
        <v>0</v>
      </c>
      <c r="AR79" s="143"/>
    </row>
    <row r="80" spans="1:44" s="162" customFormat="1" ht="15.75">
      <c r="A80" s="144" t="s">
        <v>2</v>
      </c>
      <c r="B80" s="139">
        <v>0.9</v>
      </c>
      <c r="C80" s="139">
        <v>2.3000000000000016</v>
      </c>
      <c r="D80" s="140"/>
      <c r="E80" s="154"/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  <c r="AH80" s="154"/>
      <c r="AI80" s="154"/>
      <c r="AJ80" s="154"/>
      <c r="AK80" s="154"/>
      <c r="AL80" s="154"/>
      <c r="AM80" s="154"/>
      <c r="AN80" s="154"/>
      <c r="AO80" s="140">
        <f t="shared" si="13"/>
        <v>0</v>
      </c>
      <c r="AP80" s="158">
        <f t="shared" si="16"/>
        <v>3.2000000000000015</v>
      </c>
      <c r="AR80" s="143"/>
    </row>
    <row r="81" spans="1:44" s="162" customFormat="1" ht="15.75">
      <c r="A81" s="161" t="s">
        <v>49</v>
      </c>
      <c r="B81" s="139">
        <v>21.5</v>
      </c>
      <c r="C81" s="159">
        <v>0</v>
      </c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54"/>
      <c r="AH81" s="154"/>
      <c r="AI81" s="154"/>
      <c r="AJ81" s="154"/>
      <c r="AK81" s="154"/>
      <c r="AL81" s="154"/>
      <c r="AM81" s="154"/>
      <c r="AN81" s="154"/>
      <c r="AO81" s="140">
        <f t="shared" si="13"/>
        <v>0</v>
      </c>
      <c r="AP81" s="158">
        <f t="shared" si="16"/>
        <v>21.5</v>
      </c>
      <c r="AR81" s="143"/>
    </row>
    <row r="82" spans="1:44" s="162" customFormat="1" ht="15.75" hidden="1">
      <c r="A82" s="161" t="s">
        <v>41</v>
      </c>
      <c r="B82" s="139"/>
      <c r="C82" s="159">
        <v>0</v>
      </c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54"/>
      <c r="AH82" s="154"/>
      <c r="AI82" s="154"/>
      <c r="AJ82" s="154"/>
      <c r="AK82" s="154"/>
      <c r="AL82" s="154"/>
      <c r="AM82" s="154"/>
      <c r="AN82" s="154"/>
      <c r="AO82" s="140">
        <f t="shared" si="13"/>
        <v>0</v>
      </c>
      <c r="AP82" s="158">
        <f t="shared" si="16"/>
        <v>0</v>
      </c>
      <c r="AR82" s="143"/>
    </row>
    <row r="83" spans="1:44" s="162" customFormat="1" ht="15.75" hidden="1">
      <c r="A83" s="161" t="s">
        <v>40</v>
      </c>
      <c r="B83" s="159"/>
      <c r="C83" s="159">
        <v>0</v>
      </c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154"/>
      <c r="AI83" s="154"/>
      <c r="AJ83" s="154"/>
      <c r="AK83" s="154"/>
      <c r="AL83" s="154"/>
      <c r="AM83" s="154"/>
      <c r="AN83" s="154"/>
      <c r="AO83" s="140">
        <f t="shared" si="13"/>
        <v>0</v>
      </c>
      <c r="AP83" s="140">
        <f t="shared" si="16"/>
        <v>0</v>
      </c>
      <c r="AR83" s="143"/>
    </row>
    <row r="84" spans="1:44" s="162" customFormat="1" ht="15.75" hidden="1">
      <c r="A84" s="163" t="s">
        <v>21</v>
      </c>
      <c r="B84" s="139"/>
      <c r="C84" s="159">
        <v>0</v>
      </c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54"/>
      <c r="AH84" s="154"/>
      <c r="AI84" s="154"/>
      <c r="AJ84" s="154"/>
      <c r="AK84" s="154"/>
      <c r="AL84" s="154"/>
      <c r="AM84" s="154"/>
      <c r="AN84" s="154"/>
      <c r="AO84" s="140">
        <f t="shared" si="13"/>
        <v>0</v>
      </c>
      <c r="AP84" s="140">
        <f t="shared" si="16"/>
        <v>0</v>
      </c>
      <c r="AR84" s="143"/>
    </row>
    <row r="85" spans="1:44" s="162" customFormat="1" ht="15.75" hidden="1">
      <c r="A85" s="163" t="s">
        <v>22</v>
      </c>
      <c r="B85" s="139"/>
      <c r="C85" s="159">
        <v>0</v>
      </c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54"/>
      <c r="AH85" s="154"/>
      <c r="AI85" s="154"/>
      <c r="AJ85" s="154"/>
      <c r="AK85" s="154"/>
      <c r="AL85" s="154"/>
      <c r="AM85" s="154"/>
      <c r="AN85" s="154"/>
      <c r="AO85" s="140">
        <f t="shared" si="13"/>
        <v>0</v>
      </c>
      <c r="AP85" s="140">
        <f t="shared" si="16"/>
        <v>0</v>
      </c>
      <c r="AR85" s="143"/>
    </row>
    <row r="86" spans="1:44" s="162" customFormat="1" ht="31.5" hidden="1">
      <c r="A86" s="163" t="s">
        <v>24</v>
      </c>
      <c r="B86" s="139"/>
      <c r="C86" s="159">
        <v>0</v>
      </c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54"/>
      <c r="AH86" s="154"/>
      <c r="AI86" s="154"/>
      <c r="AJ86" s="154"/>
      <c r="AK86" s="154"/>
      <c r="AL86" s="154"/>
      <c r="AM86" s="154"/>
      <c r="AN86" s="154"/>
      <c r="AO86" s="140">
        <f t="shared" si="13"/>
        <v>0</v>
      </c>
      <c r="AP86" s="140">
        <f t="shared" si="16"/>
        <v>0</v>
      </c>
      <c r="AR86" s="143"/>
    </row>
    <row r="87" spans="1:44" s="162" customFormat="1" ht="31.5" hidden="1">
      <c r="A87" s="163" t="s">
        <v>28</v>
      </c>
      <c r="B87" s="139"/>
      <c r="C87" s="159">
        <v>0</v>
      </c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54"/>
      <c r="AH87" s="154"/>
      <c r="AI87" s="154"/>
      <c r="AJ87" s="154"/>
      <c r="AK87" s="154"/>
      <c r="AL87" s="154"/>
      <c r="AM87" s="154"/>
      <c r="AN87" s="154"/>
      <c r="AO87" s="140">
        <f t="shared" si="13"/>
        <v>0</v>
      </c>
      <c r="AP87" s="140">
        <f t="shared" si="16"/>
        <v>0</v>
      </c>
      <c r="AR87" s="143"/>
    </row>
    <row r="88" spans="1:44" s="142" customFormat="1" ht="15.75">
      <c r="A88" s="138" t="s">
        <v>58</v>
      </c>
      <c r="B88" s="139">
        <v>0</v>
      </c>
      <c r="C88" s="139">
        <v>0</v>
      </c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0"/>
      <c r="AE88" s="140"/>
      <c r="AF88" s="140"/>
      <c r="AG88" s="140"/>
      <c r="AH88" s="140"/>
      <c r="AI88" s="140"/>
      <c r="AJ88" s="140"/>
      <c r="AK88" s="140"/>
      <c r="AL88" s="140"/>
      <c r="AM88" s="140"/>
      <c r="AN88" s="140"/>
      <c r="AO88" s="140">
        <f t="shared" si="13"/>
        <v>0</v>
      </c>
      <c r="AP88" s="140">
        <f t="shared" si="16"/>
        <v>0</v>
      </c>
      <c r="AQ88" s="162"/>
      <c r="AR88" s="143"/>
    </row>
    <row r="89" spans="1:44" s="142" customFormat="1" ht="15.75">
      <c r="A89" s="138" t="s">
        <v>50</v>
      </c>
      <c r="B89" s="139">
        <f>6137.1+2375.7</f>
        <v>8512.8</v>
      </c>
      <c r="C89" s="139">
        <v>3990.400000000007</v>
      </c>
      <c r="D89" s="140"/>
      <c r="E89" s="140">
        <v>761.7</v>
      </c>
      <c r="F89" s="140"/>
      <c r="G89" s="140"/>
      <c r="H89" s="140">
        <v>2817.9</v>
      </c>
      <c r="I89" s="140"/>
      <c r="J89" s="140"/>
      <c r="K89" s="140"/>
      <c r="L89" s="140"/>
      <c r="M89" s="140"/>
      <c r="N89" s="140"/>
      <c r="O89" s="140"/>
      <c r="P89" s="140"/>
      <c r="Q89" s="140"/>
      <c r="R89" s="140"/>
      <c r="S89" s="140"/>
      <c r="T89" s="140"/>
      <c r="U89" s="140"/>
      <c r="V89" s="140"/>
      <c r="W89" s="140"/>
      <c r="X89" s="140"/>
      <c r="Y89" s="140"/>
      <c r="Z89" s="140"/>
      <c r="AA89" s="140"/>
      <c r="AB89" s="140"/>
      <c r="AC89" s="140"/>
      <c r="AD89" s="140"/>
      <c r="AE89" s="140"/>
      <c r="AF89" s="140"/>
      <c r="AG89" s="140"/>
      <c r="AH89" s="140"/>
      <c r="AI89" s="140"/>
      <c r="AJ89" s="140"/>
      <c r="AK89" s="140"/>
      <c r="AL89" s="140"/>
      <c r="AM89" s="140"/>
      <c r="AN89" s="140"/>
      <c r="AO89" s="140">
        <f t="shared" si="13"/>
        <v>3579.6000000000004</v>
      </c>
      <c r="AP89" s="140">
        <f t="shared" si="16"/>
        <v>8923.600000000006</v>
      </c>
      <c r="AQ89" s="162"/>
      <c r="AR89" s="143"/>
    </row>
    <row r="90" spans="1:44" s="142" customFormat="1" ht="15.75">
      <c r="A90" s="138" t="s">
        <v>51</v>
      </c>
      <c r="B90" s="139">
        <v>5660.4</v>
      </c>
      <c r="C90" s="139">
        <v>0</v>
      </c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40"/>
      <c r="O90" s="140"/>
      <c r="P90" s="140"/>
      <c r="Q90" s="140"/>
      <c r="R90" s="140"/>
      <c r="S90" s="140"/>
      <c r="T90" s="140"/>
      <c r="U90" s="140"/>
      <c r="V90" s="140"/>
      <c r="W90" s="140"/>
      <c r="X90" s="140"/>
      <c r="Y90" s="140"/>
      <c r="Z90" s="140"/>
      <c r="AA90" s="140"/>
      <c r="AB90" s="140"/>
      <c r="AC90" s="140"/>
      <c r="AD90" s="140"/>
      <c r="AE90" s="140"/>
      <c r="AF90" s="140"/>
      <c r="AG90" s="140"/>
      <c r="AH90" s="140"/>
      <c r="AI90" s="140"/>
      <c r="AJ90" s="140"/>
      <c r="AK90" s="140"/>
      <c r="AL90" s="140"/>
      <c r="AM90" s="140"/>
      <c r="AN90" s="140"/>
      <c r="AO90" s="140">
        <f t="shared" si="13"/>
        <v>0</v>
      </c>
      <c r="AP90" s="140">
        <f t="shared" si="16"/>
        <v>5660.4</v>
      </c>
      <c r="AQ90" s="162"/>
      <c r="AR90" s="143"/>
    </row>
    <row r="91" spans="1:44" s="142" customFormat="1" ht="15.75">
      <c r="A91" s="138" t="s">
        <v>25</v>
      </c>
      <c r="B91" s="139">
        <v>0</v>
      </c>
      <c r="C91" s="139">
        <v>100</v>
      </c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140"/>
      <c r="AC91" s="140"/>
      <c r="AD91" s="140"/>
      <c r="AE91" s="140"/>
      <c r="AF91" s="140"/>
      <c r="AG91" s="140"/>
      <c r="AH91" s="140"/>
      <c r="AI91" s="140"/>
      <c r="AJ91" s="140"/>
      <c r="AK91" s="140"/>
      <c r="AL91" s="140"/>
      <c r="AM91" s="140"/>
      <c r="AN91" s="140"/>
      <c r="AO91" s="140">
        <f t="shared" si="13"/>
        <v>0</v>
      </c>
      <c r="AP91" s="140">
        <f t="shared" si="16"/>
        <v>100</v>
      </c>
      <c r="AQ91" s="162"/>
      <c r="AR91" s="143"/>
    </row>
    <row r="92" spans="1:43" s="142" customFormat="1" ht="15.75">
      <c r="A92" s="138" t="s">
        <v>37</v>
      </c>
      <c r="B92" s="139">
        <f>43780-3259.9-1145.3</f>
        <v>39374.799999999996</v>
      </c>
      <c r="C92" s="139">
        <v>2.1999999999970896</v>
      </c>
      <c r="D92" s="140">
        <v>17710.5</v>
      </c>
      <c r="E92" s="140">
        <v>10364.3</v>
      </c>
      <c r="F92" s="140"/>
      <c r="G92" s="140"/>
      <c r="H92" s="140"/>
      <c r="I92" s="140"/>
      <c r="J92" s="140"/>
      <c r="K92" s="140"/>
      <c r="L92" s="140"/>
      <c r="M92" s="140"/>
      <c r="N92" s="140"/>
      <c r="O92" s="140"/>
      <c r="P92" s="140"/>
      <c r="Q92" s="140"/>
      <c r="R92" s="140"/>
      <c r="S92" s="140"/>
      <c r="T92" s="140"/>
      <c r="U92" s="140"/>
      <c r="V92" s="140"/>
      <c r="W92" s="140"/>
      <c r="X92" s="140"/>
      <c r="Y92" s="140"/>
      <c r="Z92" s="140"/>
      <c r="AA92" s="140"/>
      <c r="AB92" s="140"/>
      <c r="AC92" s="140"/>
      <c r="AD92" s="140"/>
      <c r="AE92" s="140"/>
      <c r="AF92" s="140"/>
      <c r="AG92" s="140"/>
      <c r="AH92" s="140"/>
      <c r="AI92" s="140"/>
      <c r="AJ92" s="140"/>
      <c r="AK92" s="140"/>
      <c r="AL92" s="140"/>
      <c r="AM92" s="140"/>
      <c r="AN92" s="140"/>
      <c r="AO92" s="140">
        <f t="shared" si="13"/>
        <v>28074.8</v>
      </c>
      <c r="AP92" s="140">
        <f t="shared" si="16"/>
        <v>11302.199999999993</v>
      </c>
      <c r="AQ92" s="164"/>
    </row>
    <row r="93" spans="1:42" s="142" customFormat="1" ht="15.75">
      <c r="A93" s="166"/>
      <c r="B93" s="139"/>
      <c r="C93" s="139"/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0"/>
      <c r="O93" s="140"/>
      <c r="P93" s="140"/>
      <c r="Q93" s="140"/>
      <c r="R93" s="140"/>
      <c r="S93" s="140"/>
      <c r="T93" s="140"/>
      <c r="U93" s="140"/>
      <c r="V93" s="140"/>
      <c r="W93" s="140"/>
      <c r="X93" s="140"/>
      <c r="Y93" s="140"/>
      <c r="Z93" s="140"/>
      <c r="AA93" s="140"/>
      <c r="AB93" s="140"/>
      <c r="AC93" s="140"/>
      <c r="AD93" s="140"/>
      <c r="AE93" s="140"/>
      <c r="AF93" s="140"/>
      <c r="AG93" s="140"/>
      <c r="AH93" s="140"/>
      <c r="AI93" s="140"/>
      <c r="AJ93" s="140"/>
      <c r="AK93" s="140"/>
      <c r="AL93" s="140"/>
      <c r="AM93" s="140"/>
      <c r="AN93" s="140"/>
      <c r="AO93" s="140"/>
      <c r="AP93" s="140"/>
    </row>
    <row r="94" spans="1:42" s="169" customFormat="1" ht="15.75">
      <c r="A94" s="166" t="s">
        <v>27</v>
      </c>
      <c r="B94" s="167">
        <f aca="true" t="shared" si="17" ref="B94:AH94">B10+B15+B24+B33+B47+B52+B54+B61+B62+B69+B71+B72+B76+B81+B82+B83+B88+B89+B90+B91+B40+B92+B70</f>
        <v>201024.59999999995</v>
      </c>
      <c r="C94" s="167">
        <f>C10+C15+C24+C33+C47+C52+C54+C61+C62+C69+C71+C72+C76+C81+C82+C83+C88+C89+C90+C91+C40+C92+C70</f>
        <v>99942.80000000003</v>
      </c>
      <c r="D94" s="168">
        <f t="shared" si="17"/>
        <v>17962.7</v>
      </c>
      <c r="E94" s="168">
        <f t="shared" si="17"/>
        <v>11419.3</v>
      </c>
      <c r="F94" s="168">
        <f t="shared" si="17"/>
        <v>0</v>
      </c>
      <c r="G94" s="168">
        <f t="shared" si="17"/>
        <v>0</v>
      </c>
      <c r="H94" s="168">
        <f>H10+H15+H24+H33+H47+H52+H54+H61+H62+H69+H71+H72+H76+H81+H82+H83+H88+H89+H90+H91+H40+H92+H70</f>
        <v>5934.5</v>
      </c>
      <c r="I94" s="168">
        <f>I10+I15+I24+I33+I47+I52+I54+I61+I62+I69+I71+I72+I76+I81+I82+I83+I88+I89+I90+I91+I40+I92+I70</f>
        <v>5247</v>
      </c>
      <c r="J94" s="168">
        <f>J10+J15+J24+J33+J47+J52+J54+J61+J62+J69+J71+J72+J76+J81+J82+J83+J88+J89+J90+J91+J40+J92+J70</f>
        <v>0</v>
      </c>
      <c r="K94" s="168">
        <f t="shared" si="17"/>
        <v>0</v>
      </c>
      <c r="L94" s="168">
        <f t="shared" si="17"/>
        <v>0</v>
      </c>
      <c r="M94" s="168">
        <f t="shared" si="17"/>
        <v>0</v>
      </c>
      <c r="N94" s="168">
        <f t="shared" si="17"/>
        <v>0</v>
      </c>
      <c r="O94" s="168">
        <f t="shared" si="17"/>
        <v>0</v>
      </c>
      <c r="P94" s="168">
        <f>P10+P15+P24+P33+P47+P52+P54+P61+P62+P69+P71+P72+P76+P81+P82+P83+P88+P89+P90+P91+P40+P92+P70</f>
        <v>0</v>
      </c>
      <c r="Q94" s="168">
        <f>Q10+Q15+Q24+Q33+Q47+Q52+Q54+Q61+Q62+Q69+Q71+Q72+Q76+Q81+Q82+Q83+Q88+Q89+Q90+Q91+Q40+Q92+Q70</f>
        <v>0</v>
      </c>
      <c r="R94" s="168">
        <f t="shared" si="17"/>
        <v>0</v>
      </c>
      <c r="S94" s="168">
        <f t="shared" si="17"/>
        <v>0</v>
      </c>
      <c r="T94" s="168">
        <f t="shared" si="17"/>
        <v>0</v>
      </c>
      <c r="U94" s="168">
        <f t="shared" si="17"/>
        <v>0</v>
      </c>
      <c r="V94" s="168">
        <f t="shared" si="17"/>
        <v>0</v>
      </c>
      <c r="W94" s="168">
        <f>W10+W15+W24+W33+W47+W52+W54+W61+W62+W69+W71+W72+W76+W81+W82+W83+W88+W89+W90+W91+W40+W92+W70</f>
        <v>0</v>
      </c>
      <c r="X94" s="168">
        <f>X10+X15+X24+X33+X47+X52+X54+X61+X62+X69+X71+X72+X76+X81+X82+X83+X88+X89+X90+X91+X40+X92+X70</f>
        <v>0</v>
      </c>
      <c r="Y94" s="168">
        <f t="shared" si="17"/>
        <v>0</v>
      </c>
      <c r="Z94" s="168">
        <f t="shared" si="17"/>
        <v>0</v>
      </c>
      <c r="AA94" s="168">
        <f t="shared" si="17"/>
        <v>0</v>
      </c>
      <c r="AB94" s="168">
        <f t="shared" si="17"/>
        <v>0</v>
      </c>
      <c r="AC94" s="168">
        <f t="shared" si="17"/>
        <v>0</v>
      </c>
      <c r="AD94" s="168">
        <f>AD10+AD15+AD24+AD33+AD47+AD52+AD54+AD61+AD62+AD69+AD71+AD72+AD76+AD81+AD82+AD83+AD88+AD89+AD90+AD91+AD40+AD92+AD70</f>
        <v>0</v>
      </c>
      <c r="AE94" s="168">
        <f>AE10+AE15+AE24+AE33+AE47+AE52+AE54+AE61+AE62+AE69+AE71+AE72+AE76+AE81+AE82+AE83+AE88+AE89+AE90+AE91+AE40+AE92+AE70</f>
        <v>0</v>
      </c>
      <c r="AF94" s="168">
        <f t="shared" si="17"/>
        <v>0</v>
      </c>
      <c r="AG94" s="168">
        <f t="shared" si="17"/>
        <v>0</v>
      </c>
      <c r="AH94" s="168">
        <f t="shared" si="17"/>
        <v>0</v>
      </c>
      <c r="AI94" s="168">
        <f>AI10+AI15+AI24+AI33+AI47+AI52+AI54+AI61+AI62+AI69+AI71+AI72+AI76+AI81+AI82+AI83+AI88+AI89+AI90+AI91+AI40</f>
        <v>0</v>
      </c>
      <c r="AJ94" s="168">
        <f>AJ10+AJ15+AJ24+AJ33+AJ47+AJ52+AJ54+AJ61+AJ62+AJ69+AJ71+AJ72+AJ76+AJ81+AJ82+AJ83+AJ88+AJ89+AJ90+AJ91+AJ40</f>
        <v>0</v>
      </c>
      <c r="AK94" s="168">
        <f>AK10+AK15+AK24+AK33+AK47+AK52+AK54+AK61+AK62+AK69+AK71+AK72+AK76+AK81+AK82+AK83+AK88+AK89+AK90+AK91+AK40</f>
        <v>0</v>
      </c>
      <c r="AL94" s="168">
        <f>AL10+AL15+AL24+AL33+AL47+AL52+AL54+AL61+AL62+AL69+AL71+AL72+AL76+AL81+AL82+AL83+AL88+AL89+AL90+AL91+AL40</f>
        <v>0</v>
      </c>
      <c r="AM94" s="168">
        <f>AM10+AM15+AM24+AM33+AM47+AM52+AM54+AM61+AM62+AM69+AM71+AM72+AM76+AM81+AM82+AM83+AM88+AM89+AM90+AM91+AM40</f>
        <v>0</v>
      </c>
      <c r="AN94" s="168"/>
      <c r="AO94" s="168">
        <f>AO10+AO15+AO24+AO33+AO47+AO52+AO54+AO61+AO62+AO69+AO71+AO72+AO76+AO81+AO82+AO83+AO88+AO89+AO90+AO91+AO70+AO40+AO92</f>
        <v>40563.5</v>
      </c>
      <c r="AP94" s="168">
        <f>AP10+AP15+AP24+AP33+AP47+AP52+AP54+AP61+AP62+AP69+AP71+AP72+AP76+AP81+AP82+AP83+AP88+AP89+AP90+AP91+AP70+AP40+AP92</f>
        <v>260403.90000000005</v>
      </c>
    </row>
    <row r="95" spans="1:42" s="142" customFormat="1" ht="15.75">
      <c r="A95" s="144" t="s">
        <v>5</v>
      </c>
      <c r="B95" s="139">
        <f aca="true" t="shared" si="18" ref="B95:AM95">B11+B17+B26+B34+B55+B63+B73+B41+B77+B48</f>
        <v>70892.09999999998</v>
      </c>
      <c r="C95" s="139">
        <f>C11+C17+C26+C34+C55+C63+C73+C41+C77+C48</f>
        <v>30666.05999999999</v>
      </c>
      <c r="D95" s="140">
        <f t="shared" si="18"/>
        <v>252.20000000000002</v>
      </c>
      <c r="E95" s="140">
        <f t="shared" si="18"/>
        <v>94.1</v>
      </c>
      <c r="F95" s="140">
        <f t="shared" si="18"/>
        <v>0</v>
      </c>
      <c r="G95" s="140">
        <f t="shared" si="18"/>
        <v>0</v>
      </c>
      <c r="H95" s="140">
        <f>H11+H17+H26+H34+H55+H63+H73+H41+H77+H48</f>
        <v>0</v>
      </c>
      <c r="I95" s="140">
        <f>I11+I17+I26+I34+I55+I63+I73+I41+I77+I48</f>
        <v>109.8</v>
      </c>
      <c r="J95" s="140">
        <f>J11+J17+J26+J34+J55+J63+J73+J41+J77+J48</f>
        <v>0</v>
      </c>
      <c r="K95" s="140">
        <f t="shared" si="18"/>
        <v>0</v>
      </c>
      <c r="L95" s="140">
        <f t="shared" si="18"/>
        <v>0</v>
      </c>
      <c r="M95" s="140">
        <f t="shared" si="18"/>
        <v>0</v>
      </c>
      <c r="N95" s="140">
        <f t="shared" si="18"/>
        <v>0</v>
      </c>
      <c r="O95" s="140">
        <f t="shared" si="18"/>
        <v>0</v>
      </c>
      <c r="P95" s="140">
        <f>P11+P17+P26+P34+P55+P63+P73+P41+P77+P48</f>
        <v>0</v>
      </c>
      <c r="Q95" s="140">
        <f>Q11+Q17+Q26+Q34+Q55+Q63+Q73+Q41+Q77+Q48</f>
        <v>0</v>
      </c>
      <c r="R95" s="140">
        <f t="shared" si="18"/>
        <v>0</v>
      </c>
      <c r="S95" s="140">
        <f t="shared" si="18"/>
        <v>0</v>
      </c>
      <c r="T95" s="140">
        <f t="shared" si="18"/>
        <v>0</v>
      </c>
      <c r="U95" s="140">
        <f t="shared" si="18"/>
        <v>0</v>
      </c>
      <c r="V95" s="140">
        <f t="shared" si="18"/>
        <v>0</v>
      </c>
      <c r="W95" s="140">
        <f>W11+W17+W26+W34+W55+W63+W73+W41+W77+W48</f>
        <v>0</v>
      </c>
      <c r="X95" s="140">
        <f>X11+X17+X26+X34+X55+X63+X73+X41+X77+X48</f>
        <v>0</v>
      </c>
      <c r="Y95" s="140">
        <f t="shared" si="18"/>
        <v>0</v>
      </c>
      <c r="Z95" s="140">
        <f t="shared" si="18"/>
        <v>0</v>
      </c>
      <c r="AA95" s="140">
        <f t="shared" si="18"/>
        <v>0</v>
      </c>
      <c r="AB95" s="140">
        <f t="shared" si="18"/>
        <v>0</v>
      </c>
      <c r="AC95" s="140">
        <f>AC11+AC17+AC26+AC34+AC55+AC63+AC73+AC41+AC77+AC48</f>
        <v>0</v>
      </c>
      <c r="AD95" s="140">
        <f>AD11+AD17+AD26+AD34+AD55+AD63+AD73+AD41+AD77+AD48</f>
        <v>0</v>
      </c>
      <c r="AE95" s="140">
        <f>AE11+AE17+AE26+AE34+AE55+AE63+AE73+AE41+AE77+AE48</f>
        <v>0</v>
      </c>
      <c r="AF95" s="140">
        <f t="shared" si="18"/>
        <v>0</v>
      </c>
      <c r="AG95" s="140">
        <f t="shared" si="18"/>
        <v>0</v>
      </c>
      <c r="AH95" s="140">
        <f t="shared" si="18"/>
        <v>0</v>
      </c>
      <c r="AI95" s="140">
        <f t="shared" si="18"/>
        <v>0</v>
      </c>
      <c r="AJ95" s="140">
        <f t="shared" si="18"/>
        <v>0</v>
      </c>
      <c r="AK95" s="140">
        <f t="shared" si="18"/>
        <v>0</v>
      </c>
      <c r="AL95" s="140">
        <f t="shared" si="18"/>
        <v>0</v>
      </c>
      <c r="AM95" s="140">
        <f t="shared" si="18"/>
        <v>0</v>
      </c>
      <c r="AN95" s="140"/>
      <c r="AO95" s="140">
        <f>SUM(D95:AM95)</f>
        <v>456.1</v>
      </c>
      <c r="AP95" s="140">
        <f>B95+C95-AO95</f>
        <v>101102.05999999997</v>
      </c>
    </row>
    <row r="96" spans="1:42" s="142" customFormat="1" ht="15.75">
      <c r="A96" s="144" t="s">
        <v>2</v>
      </c>
      <c r="B96" s="139">
        <f aca="true" t="shared" si="19" ref="B96:AM96">B12+B20+B29+B36+B57+B66+B44+B80+B74+B53</f>
        <v>4586.8</v>
      </c>
      <c r="C96" s="139">
        <f>C12+C20+C29+C36+C57+C66+C44+C80+C74+C53</f>
        <v>11729.7</v>
      </c>
      <c r="D96" s="140">
        <f t="shared" si="19"/>
        <v>0</v>
      </c>
      <c r="E96" s="140">
        <f t="shared" si="19"/>
        <v>1.7</v>
      </c>
      <c r="F96" s="140">
        <f t="shared" si="19"/>
        <v>0</v>
      </c>
      <c r="G96" s="140">
        <f t="shared" si="19"/>
        <v>0</v>
      </c>
      <c r="H96" s="140">
        <f>H12+H20+H29+H36+H57+H66+H44+H80+H74+H53</f>
        <v>196.7</v>
      </c>
      <c r="I96" s="140">
        <f>I12+I20+I29+I36+I57+I66+I44+I80+I74+I53</f>
        <v>257.6</v>
      </c>
      <c r="J96" s="140">
        <f>J12+J20+J29+J36+J57+J66+J44+J80+J74+J53</f>
        <v>0</v>
      </c>
      <c r="K96" s="140">
        <f t="shared" si="19"/>
        <v>0</v>
      </c>
      <c r="L96" s="140">
        <f t="shared" si="19"/>
        <v>0</v>
      </c>
      <c r="M96" s="140">
        <f t="shared" si="19"/>
        <v>0</v>
      </c>
      <c r="N96" s="140">
        <f t="shared" si="19"/>
        <v>0</v>
      </c>
      <c r="O96" s="140">
        <f t="shared" si="19"/>
        <v>0</v>
      </c>
      <c r="P96" s="140">
        <f>P12+P20+P29+P36+P57+P66+P44+P80+P74+P53</f>
        <v>0</v>
      </c>
      <c r="Q96" s="140">
        <f>Q12+Q20+Q29+Q36+Q57+Q66+Q44+Q80+Q74+Q53</f>
        <v>0</v>
      </c>
      <c r="R96" s="140">
        <f t="shared" si="19"/>
        <v>0</v>
      </c>
      <c r="S96" s="140">
        <f t="shared" si="19"/>
        <v>0</v>
      </c>
      <c r="T96" s="140">
        <f t="shared" si="19"/>
        <v>0</v>
      </c>
      <c r="U96" s="140">
        <f t="shared" si="19"/>
        <v>0</v>
      </c>
      <c r="V96" s="140">
        <f t="shared" si="19"/>
        <v>0</v>
      </c>
      <c r="W96" s="140">
        <f>W12+W20+W29+W36+W57+W66+W44+W80+W74+W53</f>
        <v>0</v>
      </c>
      <c r="X96" s="140">
        <f>X12+X20+X29+X36+X57+X66+X44+X80+X74+X53</f>
        <v>0</v>
      </c>
      <c r="Y96" s="140">
        <f t="shared" si="19"/>
        <v>0</v>
      </c>
      <c r="Z96" s="140">
        <f t="shared" si="19"/>
        <v>0</v>
      </c>
      <c r="AA96" s="140">
        <f t="shared" si="19"/>
        <v>0</v>
      </c>
      <c r="AB96" s="140">
        <f t="shared" si="19"/>
        <v>0</v>
      </c>
      <c r="AC96" s="140">
        <f t="shared" si="19"/>
        <v>0</v>
      </c>
      <c r="AD96" s="140">
        <f>AD12+AD20+AD29+AD36+AD57+AD66+AD44+AD80+AD74+AD53</f>
        <v>0</v>
      </c>
      <c r="AE96" s="140">
        <f>AE12+AE20+AE29+AE36+AE57+AE66+AE44+AE80+AE74+AE53</f>
        <v>0</v>
      </c>
      <c r="AF96" s="140">
        <f t="shared" si="19"/>
        <v>0</v>
      </c>
      <c r="AG96" s="140">
        <f t="shared" si="19"/>
        <v>0</v>
      </c>
      <c r="AH96" s="140">
        <f t="shared" si="19"/>
        <v>0</v>
      </c>
      <c r="AI96" s="140">
        <f t="shared" si="19"/>
        <v>0</v>
      </c>
      <c r="AJ96" s="140">
        <f t="shared" si="19"/>
        <v>0</v>
      </c>
      <c r="AK96" s="140">
        <f t="shared" si="19"/>
        <v>0</v>
      </c>
      <c r="AL96" s="140">
        <f t="shared" si="19"/>
        <v>0</v>
      </c>
      <c r="AM96" s="140">
        <f t="shared" si="19"/>
        <v>0</v>
      </c>
      <c r="AN96" s="140"/>
      <c r="AO96" s="140">
        <f>SUM(D96:AM96)</f>
        <v>456</v>
      </c>
      <c r="AP96" s="140">
        <f>B96+C96-AO96</f>
        <v>15860.5</v>
      </c>
    </row>
    <row r="97" spans="1:42" s="142" customFormat="1" ht="15.75">
      <c r="A97" s="144" t="s">
        <v>3</v>
      </c>
      <c r="B97" s="139">
        <f aca="true" t="shared" si="20" ref="B97:AJ97">B18+B27+B42+B64+B78</f>
        <v>28.5</v>
      </c>
      <c r="C97" s="139">
        <f>C18+C27+C42+C64+C78</f>
        <v>14.100000000000001</v>
      </c>
      <c r="D97" s="140">
        <f t="shared" si="20"/>
        <v>0</v>
      </c>
      <c r="E97" s="140">
        <f t="shared" si="20"/>
        <v>0</v>
      </c>
      <c r="F97" s="140">
        <f t="shared" si="20"/>
        <v>0</v>
      </c>
      <c r="G97" s="140">
        <f t="shared" si="20"/>
        <v>0</v>
      </c>
      <c r="H97" s="140">
        <f>H18+H27+H42+H64+H78</f>
        <v>0</v>
      </c>
      <c r="I97" s="140">
        <f>I18+I27+I42+I64+I78</f>
        <v>0</v>
      </c>
      <c r="J97" s="140">
        <f>J18+J27+J42+J64+J78</f>
        <v>0</v>
      </c>
      <c r="K97" s="140">
        <f t="shared" si="20"/>
        <v>0</v>
      </c>
      <c r="L97" s="140">
        <f t="shared" si="20"/>
        <v>0</v>
      </c>
      <c r="M97" s="140">
        <f t="shared" si="20"/>
        <v>0</v>
      </c>
      <c r="N97" s="140">
        <f t="shared" si="20"/>
        <v>0</v>
      </c>
      <c r="O97" s="140">
        <f t="shared" si="20"/>
        <v>0</v>
      </c>
      <c r="P97" s="140">
        <f>P18+P27+P42+P64+P78</f>
        <v>0</v>
      </c>
      <c r="Q97" s="140">
        <f>Q18+Q27+Q42+Q64+Q78</f>
        <v>0</v>
      </c>
      <c r="R97" s="140">
        <f t="shared" si="20"/>
        <v>0</v>
      </c>
      <c r="S97" s="140">
        <f t="shared" si="20"/>
        <v>0</v>
      </c>
      <c r="T97" s="140">
        <f t="shared" si="20"/>
        <v>0</v>
      </c>
      <c r="U97" s="140">
        <f t="shared" si="20"/>
        <v>0</v>
      </c>
      <c r="V97" s="140">
        <f t="shared" si="20"/>
        <v>0</v>
      </c>
      <c r="W97" s="140">
        <f>W18+W27+W42+W64+W78</f>
        <v>0</v>
      </c>
      <c r="X97" s="140">
        <f>X18+X27+X42+X64+X78</f>
        <v>0</v>
      </c>
      <c r="Y97" s="140">
        <f t="shared" si="20"/>
        <v>0</v>
      </c>
      <c r="Z97" s="140">
        <f t="shared" si="20"/>
        <v>0</v>
      </c>
      <c r="AA97" s="140">
        <f t="shared" si="20"/>
        <v>0</v>
      </c>
      <c r="AB97" s="140">
        <f t="shared" si="20"/>
        <v>0</v>
      </c>
      <c r="AC97" s="140">
        <f t="shared" si="20"/>
        <v>0</v>
      </c>
      <c r="AD97" s="140">
        <f>AD18+AD27+AD42+AD64+AD78</f>
        <v>0</v>
      </c>
      <c r="AE97" s="140">
        <f>AE18+AE27+AE42+AE64+AE78</f>
        <v>0</v>
      </c>
      <c r="AF97" s="140">
        <f t="shared" si="20"/>
        <v>0</v>
      </c>
      <c r="AG97" s="140">
        <f t="shared" si="20"/>
        <v>0</v>
      </c>
      <c r="AH97" s="140">
        <f t="shared" si="20"/>
        <v>0</v>
      </c>
      <c r="AI97" s="140">
        <f t="shared" si="20"/>
        <v>0</v>
      </c>
      <c r="AJ97" s="140">
        <f t="shared" si="20"/>
        <v>0</v>
      </c>
      <c r="AK97" s="140">
        <f>AK18+AK27+AK42+AK64</f>
        <v>0</v>
      </c>
      <c r="AL97" s="140">
        <f>AL18+AL27+AL42+AL64</f>
        <v>0</v>
      </c>
      <c r="AM97" s="140">
        <f>AM18+AM27+AM42+AM64</f>
        <v>0</v>
      </c>
      <c r="AN97" s="140"/>
      <c r="AO97" s="140">
        <f>SUM(D97:AM97)</f>
        <v>0</v>
      </c>
      <c r="AP97" s="140">
        <f>B97+C97-AO97</f>
        <v>42.6</v>
      </c>
    </row>
    <row r="98" spans="1:42" s="142" customFormat="1" ht="15.75">
      <c r="A98" s="144" t="s">
        <v>1</v>
      </c>
      <c r="B98" s="139">
        <f aca="true" t="shared" si="21" ref="B98:AM98">B19+B28+B65+B35+B43+B56+B79</f>
        <v>4626.1</v>
      </c>
      <c r="C98" s="139">
        <f>C19+C28+C65+C35+C43+C56+C79</f>
        <v>3344.8999999999983</v>
      </c>
      <c r="D98" s="140">
        <f t="shared" si="21"/>
        <v>0</v>
      </c>
      <c r="E98" s="140">
        <f t="shared" si="21"/>
        <v>0</v>
      </c>
      <c r="F98" s="140">
        <f t="shared" si="21"/>
        <v>0</v>
      </c>
      <c r="G98" s="140">
        <f t="shared" si="21"/>
        <v>0</v>
      </c>
      <c r="H98" s="140">
        <f>H19+H28+H65+H35+H43+H56+H79</f>
        <v>0</v>
      </c>
      <c r="I98" s="140">
        <f>I19+I28+I65+I35+I43+I56+I79</f>
        <v>320.1</v>
      </c>
      <c r="J98" s="140">
        <f>J19+J28+J65+J35+J43+J56+J79</f>
        <v>0</v>
      </c>
      <c r="K98" s="140">
        <f t="shared" si="21"/>
        <v>0</v>
      </c>
      <c r="L98" s="140">
        <f t="shared" si="21"/>
        <v>0</v>
      </c>
      <c r="M98" s="140">
        <f t="shared" si="21"/>
        <v>0</v>
      </c>
      <c r="N98" s="140">
        <f t="shared" si="21"/>
        <v>0</v>
      </c>
      <c r="O98" s="140">
        <f t="shared" si="21"/>
        <v>0</v>
      </c>
      <c r="P98" s="140">
        <f>P19+P28+P65+P35+P43+P56+P79</f>
        <v>0</v>
      </c>
      <c r="Q98" s="140">
        <f>Q19+Q28+Q65+Q35+Q43+Q56+Q79</f>
        <v>0</v>
      </c>
      <c r="R98" s="140">
        <f t="shared" si="21"/>
        <v>0</v>
      </c>
      <c r="S98" s="140">
        <f t="shared" si="21"/>
        <v>0</v>
      </c>
      <c r="T98" s="140">
        <f t="shared" si="21"/>
        <v>0</v>
      </c>
      <c r="U98" s="140">
        <f t="shared" si="21"/>
        <v>0</v>
      </c>
      <c r="V98" s="140">
        <f t="shared" si="21"/>
        <v>0</v>
      </c>
      <c r="W98" s="140">
        <f>W19+W28+W65+W35+W43+W56+W79</f>
        <v>0</v>
      </c>
      <c r="X98" s="140">
        <f>X19+X28+X65+X35+X43+X56+X79</f>
        <v>0</v>
      </c>
      <c r="Y98" s="140">
        <f t="shared" si="21"/>
        <v>0</v>
      </c>
      <c r="Z98" s="140">
        <f t="shared" si="21"/>
        <v>0</v>
      </c>
      <c r="AA98" s="140">
        <f t="shared" si="21"/>
        <v>0</v>
      </c>
      <c r="AB98" s="140">
        <f t="shared" si="21"/>
        <v>0</v>
      </c>
      <c r="AC98" s="140">
        <f t="shared" si="21"/>
        <v>0</v>
      </c>
      <c r="AD98" s="140">
        <f>AD19+AD28+AD65+AD35+AD43+AD56+AD79</f>
        <v>0</v>
      </c>
      <c r="AE98" s="140">
        <f>AE19+AE28+AE65+AE35+AE43+AE56+AE79</f>
        <v>0</v>
      </c>
      <c r="AF98" s="140">
        <f t="shared" si="21"/>
        <v>0</v>
      </c>
      <c r="AG98" s="140">
        <f t="shared" si="21"/>
        <v>0</v>
      </c>
      <c r="AH98" s="140">
        <f t="shared" si="21"/>
        <v>0</v>
      </c>
      <c r="AI98" s="140">
        <f t="shared" si="21"/>
        <v>0</v>
      </c>
      <c r="AJ98" s="140">
        <f t="shared" si="21"/>
        <v>0</v>
      </c>
      <c r="AK98" s="140">
        <f t="shared" si="21"/>
        <v>0</v>
      </c>
      <c r="AL98" s="140">
        <f t="shared" si="21"/>
        <v>0</v>
      </c>
      <c r="AM98" s="140">
        <f t="shared" si="21"/>
        <v>0</v>
      </c>
      <c r="AN98" s="140"/>
      <c r="AO98" s="140">
        <f>SUM(D98:AM98)</f>
        <v>320.1</v>
      </c>
      <c r="AP98" s="140">
        <f>B98+C98-AO98</f>
        <v>7650.899999999998</v>
      </c>
    </row>
    <row r="99" spans="1:42" s="142" customFormat="1" ht="15.75">
      <c r="A99" s="144" t="s">
        <v>16</v>
      </c>
      <c r="B99" s="139">
        <f>B21+B30+B49+B37+B58+B13+B75+B67</f>
        <v>6319.7</v>
      </c>
      <c r="C99" s="139">
        <f>C21+C30+C49+C37+C58+C13+C75+C67</f>
        <v>8461.900000000001</v>
      </c>
      <c r="D99" s="140">
        <f aca="true" t="shared" si="22" ref="D99:AG99">D21+D30+D49+D37+D58+D13+D75+D67</f>
        <v>0</v>
      </c>
      <c r="E99" s="140">
        <f t="shared" si="22"/>
        <v>0</v>
      </c>
      <c r="F99" s="140">
        <f t="shared" si="22"/>
        <v>0</v>
      </c>
      <c r="G99" s="140">
        <f t="shared" si="22"/>
        <v>0</v>
      </c>
      <c r="H99" s="140">
        <f>H21+H30+H49+H37+H58+H13+H75+H67</f>
        <v>1964.6999999999998</v>
      </c>
      <c r="I99" s="140">
        <f>I21+I30+I49+I37+I58+I13+I75+I67</f>
        <v>126.7</v>
      </c>
      <c r="J99" s="140">
        <f>J21+J30+J49+J37+J58+J13+J75+J67</f>
        <v>0</v>
      </c>
      <c r="K99" s="140">
        <f t="shared" si="22"/>
        <v>0</v>
      </c>
      <c r="L99" s="140">
        <f t="shared" si="22"/>
        <v>0</v>
      </c>
      <c r="M99" s="140">
        <f t="shared" si="22"/>
        <v>0</v>
      </c>
      <c r="N99" s="140">
        <f t="shared" si="22"/>
        <v>0</v>
      </c>
      <c r="O99" s="140">
        <f t="shared" si="22"/>
        <v>0</v>
      </c>
      <c r="P99" s="140">
        <f>P21+P30+P49+P37+P58+P13+P75+P67</f>
        <v>0</v>
      </c>
      <c r="Q99" s="140">
        <f>Q21+Q30+Q49+Q37+Q58+Q13+Q75+Q67</f>
        <v>0</v>
      </c>
      <c r="R99" s="140">
        <f t="shared" si="22"/>
        <v>0</v>
      </c>
      <c r="S99" s="140">
        <f t="shared" si="22"/>
        <v>0</v>
      </c>
      <c r="T99" s="140">
        <f t="shared" si="22"/>
        <v>0</v>
      </c>
      <c r="U99" s="140">
        <f t="shared" si="22"/>
        <v>0</v>
      </c>
      <c r="V99" s="140">
        <f t="shared" si="22"/>
        <v>0</v>
      </c>
      <c r="W99" s="140">
        <f>W21+W30+W49+W37+W58+W13+W75+W67</f>
        <v>0</v>
      </c>
      <c r="X99" s="140">
        <f>X21+X30+X49+X37+X58+X13+X75+X67</f>
        <v>0</v>
      </c>
      <c r="Y99" s="140">
        <f t="shared" si="22"/>
        <v>0</v>
      </c>
      <c r="Z99" s="140">
        <f t="shared" si="22"/>
        <v>0</v>
      </c>
      <c r="AA99" s="140">
        <f t="shared" si="22"/>
        <v>0</v>
      </c>
      <c r="AB99" s="140">
        <f t="shared" si="22"/>
        <v>0</v>
      </c>
      <c r="AC99" s="140">
        <f t="shared" si="22"/>
        <v>0</v>
      </c>
      <c r="AD99" s="140">
        <f>AD21+AD30+AD49+AD37+AD58+AD13+AD75+AD67</f>
        <v>0</v>
      </c>
      <c r="AE99" s="140">
        <f>AE21+AE30+AE49+AE37+AE58+AE13+AE75+AE67</f>
        <v>0</v>
      </c>
      <c r="AF99" s="140">
        <f t="shared" si="22"/>
        <v>0</v>
      </c>
      <c r="AG99" s="140">
        <f t="shared" si="22"/>
        <v>0</v>
      </c>
      <c r="AH99" s="140">
        <f aca="true" t="shared" si="23" ref="AH99:AM99">AH21+AH30+AH49+AH37+AH58+AH13+AH75</f>
        <v>0</v>
      </c>
      <c r="AI99" s="140">
        <f t="shared" si="23"/>
        <v>0</v>
      </c>
      <c r="AJ99" s="140">
        <f t="shared" si="23"/>
        <v>0</v>
      </c>
      <c r="AK99" s="140">
        <f t="shared" si="23"/>
        <v>0</v>
      </c>
      <c r="AL99" s="140">
        <f t="shared" si="23"/>
        <v>0</v>
      </c>
      <c r="AM99" s="140">
        <f t="shared" si="23"/>
        <v>0</v>
      </c>
      <c r="AN99" s="140"/>
      <c r="AO99" s="140">
        <f>SUM(D99:AM99)</f>
        <v>2091.3999999999996</v>
      </c>
      <c r="AP99" s="140">
        <f>B99+C99-AO99</f>
        <v>12690.200000000003</v>
      </c>
    </row>
    <row r="100" spans="1:42" ht="12.75">
      <c r="A100" s="137" t="s">
        <v>35</v>
      </c>
      <c r="B100" s="20">
        <f>B94-B95-B96-B97-B98-B99</f>
        <v>114571.39999999997</v>
      </c>
      <c r="C100" s="20">
        <f>C94-C95-C96-C97-C98-C99</f>
        <v>45726.14000000005</v>
      </c>
      <c r="D100" s="92">
        <f aca="true" t="shared" si="24" ref="D100:AM100">D94-D95-D96-D97-D98-D99</f>
        <v>17710.5</v>
      </c>
      <c r="E100" s="92">
        <f t="shared" si="24"/>
        <v>11323.499999999998</v>
      </c>
      <c r="F100" s="92">
        <f t="shared" si="24"/>
        <v>0</v>
      </c>
      <c r="G100" s="92">
        <f t="shared" si="24"/>
        <v>0</v>
      </c>
      <c r="H100" s="92">
        <f>H94-H95-H96-H97-H98-H99</f>
        <v>3773.1000000000004</v>
      </c>
      <c r="I100" s="92">
        <f>I94-I95-I96-I97-I98-I99</f>
        <v>4432.799999999999</v>
      </c>
      <c r="J100" s="92">
        <f>J94-J95-J96-J97-J98-J99</f>
        <v>0</v>
      </c>
      <c r="K100" s="92">
        <f t="shared" si="24"/>
        <v>0</v>
      </c>
      <c r="L100" s="92">
        <f t="shared" si="24"/>
        <v>0</v>
      </c>
      <c r="M100" s="92">
        <f t="shared" si="24"/>
        <v>0</v>
      </c>
      <c r="N100" s="92">
        <f t="shared" si="24"/>
        <v>0</v>
      </c>
      <c r="O100" s="92">
        <f t="shared" si="24"/>
        <v>0</v>
      </c>
      <c r="P100" s="92">
        <f>P94-P95-P96-P97-P98-P99</f>
        <v>0</v>
      </c>
      <c r="Q100" s="92">
        <f>Q94-Q95-Q96-Q97-Q98-Q99</f>
        <v>0</v>
      </c>
      <c r="R100" s="92">
        <f t="shared" si="24"/>
        <v>0</v>
      </c>
      <c r="S100" s="92">
        <f t="shared" si="24"/>
        <v>0</v>
      </c>
      <c r="T100" s="92">
        <f t="shared" si="24"/>
        <v>0</v>
      </c>
      <c r="U100" s="92">
        <f t="shared" si="24"/>
        <v>0</v>
      </c>
      <c r="V100" s="92">
        <f t="shared" si="24"/>
        <v>0</v>
      </c>
      <c r="W100" s="92">
        <f>W94-W95-W96-W97-W98-W99</f>
        <v>0</v>
      </c>
      <c r="X100" s="92">
        <f>X94-X95-X96-X97-X98-X99</f>
        <v>0</v>
      </c>
      <c r="Y100" s="92">
        <f t="shared" si="24"/>
        <v>0</v>
      </c>
      <c r="Z100" s="92">
        <f t="shared" si="24"/>
        <v>0</v>
      </c>
      <c r="AA100" s="92">
        <f t="shared" si="24"/>
        <v>0</v>
      </c>
      <c r="AB100" s="92">
        <f t="shared" si="24"/>
        <v>0</v>
      </c>
      <c r="AC100" s="92">
        <f t="shared" si="24"/>
        <v>0</v>
      </c>
      <c r="AD100" s="92">
        <f>AD94-AD95-AD96-AD97-AD98-AD99</f>
        <v>0</v>
      </c>
      <c r="AE100" s="92">
        <f>AE94-AE95-AE96-AE97-AE98-AE99</f>
        <v>0</v>
      </c>
      <c r="AF100" s="92">
        <f t="shared" si="24"/>
        <v>0</v>
      </c>
      <c r="AG100" s="92">
        <f t="shared" si="24"/>
        <v>0</v>
      </c>
      <c r="AH100" s="92">
        <f t="shared" si="24"/>
        <v>0</v>
      </c>
      <c r="AI100" s="92">
        <f t="shared" si="24"/>
        <v>0</v>
      </c>
      <c r="AJ100" s="92">
        <f t="shared" si="24"/>
        <v>0</v>
      </c>
      <c r="AK100" s="92">
        <f t="shared" si="24"/>
        <v>0</v>
      </c>
      <c r="AL100" s="92">
        <f t="shared" si="24"/>
        <v>0</v>
      </c>
      <c r="AM100" s="92">
        <f t="shared" si="24"/>
        <v>0</v>
      </c>
      <c r="AN100" s="92"/>
      <c r="AO100" s="92">
        <f>AO94-AO95-AO96-AO97-AO98-AO99</f>
        <v>37239.9</v>
      </c>
      <c r="AP100" s="92">
        <f>AP94-AP95-AP96-AP97-AP98-AP99</f>
        <v>123057.64000000009</v>
      </c>
    </row>
    <row r="101" spans="1:42" s="32" customFormat="1" ht="15.75">
      <c r="A101" s="30"/>
      <c r="B101" s="31"/>
      <c r="C101" s="31"/>
      <c r="R101" s="93"/>
      <c r="AK101" s="31"/>
      <c r="AL101" s="31"/>
      <c r="AM101" s="31"/>
      <c r="AN101" s="31"/>
      <c r="AO101" s="31"/>
      <c r="AP101" s="31"/>
    </row>
    <row r="102" spans="1:42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94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16"/>
      <c r="AJ102" s="16"/>
      <c r="AK102" s="16"/>
      <c r="AL102" s="16">
        <f>AL9-AL16-AL25</f>
        <v>0</v>
      </c>
      <c r="AM102" s="16">
        <f>AM9-AM16-AM25</f>
        <v>0</v>
      </c>
      <c r="AN102" s="16"/>
      <c r="AO102" s="16"/>
      <c r="AP102" s="16"/>
    </row>
    <row r="103" spans="1:42" s="45" customFormat="1" ht="15.75">
      <c r="A103" s="42"/>
      <c r="B103" s="43">
        <v>201024.50000000003</v>
      </c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95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3"/>
      <c r="AL103" s="43"/>
      <c r="AM103" s="43"/>
      <c r="AN103" s="43"/>
      <c r="AO103" s="43"/>
      <c r="AP103" s="43"/>
    </row>
    <row r="104" spans="1:42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0"/>
      <c r="N104" s="2"/>
      <c r="O104" s="2"/>
      <c r="P104" s="2"/>
      <c r="Q104" s="2"/>
      <c r="R104" s="20"/>
      <c r="S104" s="2"/>
      <c r="T104" s="2"/>
      <c r="U104" s="2"/>
      <c r="V104" s="2"/>
      <c r="W104" s="2"/>
      <c r="X104" s="2"/>
      <c r="Y104" s="2"/>
      <c r="Z104" s="20"/>
      <c r="AA104" s="20"/>
      <c r="AB104" s="2"/>
      <c r="AC104" s="2"/>
      <c r="AD104" s="2"/>
      <c r="AE104" s="2"/>
      <c r="AF104" s="2"/>
      <c r="AG104" s="20"/>
      <c r="AH104" s="20"/>
      <c r="AI104" s="20"/>
      <c r="AJ104" s="20"/>
      <c r="AK104" s="2"/>
      <c r="AL104" s="2"/>
      <c r="AM104" s="2"/>
      <c r="AN104" s="2"/>
      <c r="AO104" s="2"/>
      <c r="AP104" s="2"/>
    </row>
    <row r="105" spans="1:42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0"/>
      <c r="N105" s="2"/>
      <c r="O105" s="2"/>
      <c r="P105" s="2"/>
      <c r="Q105" s="2"/>
      <c r="R105" s="20"/>
      <c r="S105" s="2"/>
      <c r="T105" s="2"/>
      <c r="U105" s="2"/>
      <c r="V105" s="2"/>
      <c r="W105" s="2"/>
      <c r="X105" s="2"/>
      <c r="Y105" s="2"/>
      <c r="Z105" s="20"/>
      <c r="AA105" s="20"/>
      <c r="AB105" s="2"/>
      <c r="AC105" s="2"/>
      <c r="AD105" s="2"/>
      <c r="AE105" s="2"/>
      <c r="AF105" s="2"/>
      <c r="AG105" s="20"/>
      <c r="AH105" s="20"/>
      <c r="AI105" s="20"/>
      <c r="AJ105" s="20"/>
      <c r="AK105" s="2"/>
      <c r="AL105" s="2"/>
      <c r="AM105" s="2"/>
      <c r="AN105" s="2"/>
      <c r="AO105" s="2"/>
      <c r="AP105" s="2"/>
    </row>
    <row r="106" spans="2:42" ht="12.7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21"/>
      <c r="N106" s="6"/>
      <c r="O106" s="6"/>
      <c r="P106" s="6"/>
      <c r="Q106" s="6"/>
      <c r="R106" s="21"/>
      <c r="S106" s="6"/>
      <c r="T106" s="6"/>
      <c r="U106" s="6"/>
      <c r="V106" s="6"/>
      <c r="W106" s="6"/>
      <c r="X106" s="6"/>
      <c r="Y106" s="6"/>
      <c r="Z106" s="21"/>
      <c r="AA106" s="21"/>
      <c r="AB106" s="6"/>
      <c r="AC106" s="6"/>
      <c r="AD106" s="6"/>
      <c r="AE106" s="6"/>
      <c r="AF106" s="6"/>
      <c r="AG106" s="21"/>
      <c r="AH106" s="21"/>
      <c r="AI106" s="21"/>
      <c r="AJ106" s="21"/>
      <c r="AK106" s="6"/>
      <c r="AL106" s="6"/>
      <c r="AM106" s="6"/>
      <c r="AN106" s="6"/>
      <c r="AO106" s="6"/>
      <c r="AP106" s="6"/>
    </row>
    <row r="107" spans="2:42" ht="12.7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21"/>
      <c r="N107" s="6"/>
      <c r="O107" s="6"/>
      <c r="P107" s="6"/>
      <c r="Q107" s="6"/>
      <c r="R107" s="21"/>
      <c r="S107" s="6"/>
      <c r="T107" s="6"/>
      <c r="U107" s="6"/>
      <c r="V107" s="6"/>
      <c r="W107" s="6"/>
      <c r="X107" s="6"/>
      <c r="Y107" s="6"/>
      <c r="Z107" s="21"/>
      <c r="AA107" s="21"/>
      <c r="AB107" s="6"/>
      <c r="AC107" s="6"/>
      <c r="AD107" s="6"/>
      <c r="AE107" s="6"/>
      <c r="AF107" s="6"/>
      <c r="AG107" s="21"/>
      <c r="AH107" s="21"/>
      <c r="AI107" s="21"/>
      <c r="AJ107" s="21"/>
      <c r="AK107" s="6"/>
      <c r="AL107" s="6"/>
      <c r="AM107" s="6"/>
      <c r="AN107" s="6"/>
      <c r="AO107" s="6"/>
      <c r="AP107" s="6"/>
    </row>
    <row r="108" spans="2:42" ht="12.7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21"/>
      <c r="N108" s="6"/>
      <c r="O108" s="6"/>
      <c r="P108" s="6"/>
      <c r="Q108" s="6"/>
      <c r="R108" s="21"/>
      <c r="S108" s="6"/>
      <c r="T108" s="6"/>
      <c r="U108" s="6"/>
      <c r="V108" s="6"/>
      <c r="W108" s="6"/>
      <c r="X108" s="6"/>
      <c r="Y108" s="6"/>
      <c r="Z108" s="21"/>
      <c r="AA108" s="21"/>
      <c r="AB108" s="6"/>
      <c r="AC108" s="6"/>
      <c r="AD108" s="6"/>
      <c r="AE108" s="6"/>
      <c r="AF108" s="6"/>
      <c r="AG108" s="21"/>
      <c r="AH108" s="21"/>
      <c r="AI108" s="21"/>
      <c r="AJ108" s="21"/>
      <c r="AK108" s="6"/>
      <c r="AL108" s="6"/>
      <c r="AM108" s="6"/>
      <c r="AN108" s="6"/>
      <c r="AO108" s="6"/>
      <c r="AP108" s="6"/>
    </row>
    <row r="109" spans="2:42" ht="12.7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21"/>
      <c r="N109" s="6"/>
      <c r="O109" s="6"/>
      <c r="P109" s="6"/>
      <c r="Q109" s="6"/>
      <c r="R109" s="21"/>
      <c r="S109" s="6"/>
      <c r="T109" s="6"/>
      <c r="U109" s="6"/>
      <c r="V109" s="6"/>
      <c r="W109" s="6"/>
      <c r="X109" s="6"/>
      <c r="Y109" s="6"/>
      <c r="Z109" s="21"/>
      <c r="AA109" s="21"/>
      <c r="AB109" s="6"/>
      <c r="AC109" s="6"/>
      <c r="AD109" s="6"/>
      <c r="AE109" s="6"/>
      <c r="AF109" s="6"/>
      <c r="AG109" s="21"/>
      <c r="AH109" s="21"/>
      <c r="AI109" s="21"/>
      <c r="AJ109" s="21"/>
      <c r="AK109" s="6"/>
      <c r="AL109" s="6"/>
      <c r="AM109" s="6"/>
      <c r="AN109" s="6"/>
      <c r="AO109" s="6"/>
      <c r="AP109" s="6"/>
    </row>
    <row r="110" spans="2:42" ht="12.7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21"/>
      <c r="N110" s="6"/>
      <c r="O110" s="6"/>
      <c r="P110" s="6"/>
      <c r="Q110" s="6"/>
      <c r="R110" s="21"/>
      <c r="S110" s="6"/>
      <c r="T110" s="6"/>
      <c r="U110" s="6"/>
      <c r="V110" s="6"/>
      <c r="W110" s="6"/>
      <c r="X110" s="6"/>
      <c r="Y110" s="6"/>
      <c r="Z110" s="21"/>
      <c r="AA110" s="21"/>
      <c r="AB110" s="6"/>
      <c r="AC110" s="6"/>
      <c r="AD110" s="6"/>
      <c r="AE110" s="6"/>
      <c r="AF110" s="6"/>
      <c r="AG110" s="21"/>
      <c r="AH110" s="21"/>
      <c r="AI110" s="21"/>
      <c r="AJ110" s="21"/>
      <c r="AK110" s="6"/>
      <c r="AL110" s="6"/>
      <c r="AM110" s="6"/>
      <c r="AN110" s="6"/>
      <c r="AO110" s="6"/>
      <c r="AP110" s="6"/>
    </row>
    <row r="111" spans="2:42" ht="12.7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21"/>
      <c r="N111" s="6"/>
      <c r="O111" s="6"/>
      <c r="P111" s="6"/>
      <c r="Q111" s="6"/>
      <c r="R111" s="21"/>
      <c r="S111" s="6"/>
      <c r="T111" s="6"/>
      <c r="U111" s="6"/>
      <c r="V111" s="6"/>
      <c r="W111" s="6"/>
      <c r="X111" s="6"/>
      <c r="Y111" s="6"/>
      <c r="Z111" s="21"/>
      <c r="AA111" s="21"/>
      <c r="AB111" s="6"/>
      <c r="AC111" s="6"/>
      <c r="AD111" s="6"/>
      <c r="AE111" s="6"/>
      <c r="AF111" s="6"/>
      <c r="AG111" s="21"/>
      <c r="AH111" s="21"/>
      <c r="AI111" s="21"/>
      <c r="AJ111" s="21"/>
      <c r="AK111" s="6"/>
      <c r="AL111" s="6"/>
      <c r="AM111" s="6"/>
      <c r="AN111" s="6"/>
      <c r="AO111" s="6"/>
      <c r="AP111" s="6"/>
    </row>
    <row r="112" spans="2:42" ht="12.7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21"/>
      <c r="N112" s="6"/>
      <c r="O112" s="6"/>
      <c r="P112" s="6"/>
      <c r="Q112" s="6"/>
      <c r="R112" s="21"/>
      <c r="S112" s="6"/>
      <c r="T112" s="6"/>
      <c r="U112" s="6"/>
      <c r="V112" s="6"/>
      <c r="W112" s="6"/>
      <c r="X112" s="6"/>
      <c r="Y112" s="6"/>
      <c r="Z112" s="21"/>
      <c r="AA112" s="21"/>
      <c r="AB112" s="6"/>
      <c r="AC112" s="6"/>
      <c r="AD112" s="6"/>
      <c r="AE112" s="6"/>
      <c r="AF112" s="6"/>
      <c r="AG112" s="21"/>
      <c r="AH112" s="21"/>
      <c r="AI112" s="21"/>
      <c r="AJ112" s="21"/>
      <c r="AK112" s="6"/>
      <c r="AL112" s="6"/>
      <c r="AM112" s="6"/>
      <c r="AN112" s="6"/>
      <c r="AO112" s="6"/>
      <c r="AP112" s="6"/>
    </row>
    <row r="113" spans="2:42" ht="12.7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21"/>
      <c r="N113" s="6"/>
      <c r="O113" s="6"/>
      <c r="P113" s="6"/>
      <c r="Q113" s="6"/>
      <c r="R113" s="21"/>
      <c r="S113" s="6"/>
      <c r="T113" s="6"/>
      <c r="U113" s="6"/>
      <c r="V113" s="6"/>
      <c r="W113" s="6"/>
      <c r="X113" s="6"/>
      <c r="Y113" s="6"/>
      <c r="Z113" s="21"/>
      <c r="AA113" s="21"/>
      <c r="AB113" s="6"/>
      <c r="AC113" s="6"/>
      <c r="AD113" s="6"/>
      <c r="AE113" s="6"/>
      <c r="AF113" s="6"/>
      <c r="AG113" s="21"/>
      <c r="AH113" s="21"/>
      <c r="AI113" s="21"/>
      <c r="AJ113" s="21"/>
      <c r="AK113" s="6"/>
      <c r="AL113" s="6"/>
      <c r="AM113" s="6"/>
      <c r="AN113" s="6"/>
      <c r="AO113" s="6"/>
      <c r="AP113" s="6"/>
    </row>
    <row r="114" spans="2:42" ht="12.7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21"/>
      <c r="N114" s="6"/>
      <c r="O114" s="6"/>
      <c r="P114" s="6"/>
      <c r="Q114" s="6"/>
      <c r="R114" s="21"/>
      <c r="S114" s="6"/>
      <c r="T114" s="6"/>
      <c r="U114" s="6"/>
      <c r="V114" s="6"/>
      <c r="W114" s="6"/>
      <c r="X114" s="6"/>
      <c r="Y114" s="6"/>
      <c r="Z114" s="21"/>
      <c r="AA114" s="21"/>
      <c r="AB114" s="6"/>
      <c r="AC114" s="6"/>
      <c r="AD114" s="6"/>
      <c r="AE114" s="6"/>
      <c r="AF114" s="6"/>
      <c r="AG114" s="21"/>
      <c r="AH114" s="21"/>
      <c r="AI114" s="21"/>
      <c r="AJ114" s="21"/>
      <c r="AK114" s="6"/>
      <c r="AL114" s="6"/>
      <c r="AM114" s="6"/>
      <c r="AN114" s="6"/>
      <c r="AO114" s="6"/>
      <c r="AP114" s="6"/>
    </row>
    <row r="115" spans="2:42" ht="12.7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21"/>
      <c r="N115" s="6"/>
      <c r="O115" s="6"/>
      <c r="P115" s="6"/>
      <c r="Q115" s="6"/>
      <c r="R115" s="21"/>
      <c r="S115" s="6"/>
      <c r="T115" s="6"/>
      <c r="U115" s="6"/>
      <c r="V115" s="6"/>
      <c r="W115" s="6"/>
      <c r="X115" s="6"/>
      <c r="Y115" s="6"/>
      <c r="Z115" s="21"/>
      <c r="AA115" s="21"/>
      <c r="AB115" s="6"/>
      <c r="AC115" s="6"/>
      <c r="AD115" s="6"/>
      <c r="AE115" s="6"/>
      <c r="AF115" s="6"/>
      <c r="AG115" s="21"/>
      <c r="AH115" s="21"/>
      <c r="AI115" s="21"/>
      <c r="AJ115" s="21"/>
      <c r="AK115" s="6"/>
      <c r="AL115" s="6"/>
      <c r="AM115" s="6"/>
      <c r="AN115" s="6"/>
      <c r="AO115" s="6"/>
      <c r="AP115" s="6"/>
    </row>
    <row r="116" spans="2:42" ht="12.7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21"/>
      <c r="N116" s="6"/>
      <c r="O116" s="6"/>
      <c r="P116" s="6"/>
      <c r="Q116" s="6"/>
      <c r="R116" s="21"/>
      <c r="S116" s="6"/>
      <c r="T116" s="6"/>
      <c r="U116" s="6"/>
      <c r="V116" s="6"/>
      <c r="W116" s="6"/>
      <c r="X116" s="6"/>
      <c r="Y116" s="6"/>
      <c r="Z116" s="21"/>
      <c r="AA116" s="21"/>
      <c r="AB116" s="6"/>
      <c r="AC116" s="6"/>
      <c r="AD116" s="6"/>
      <c r="AE116" s="6"/>
      <c r="AF116" s="6"/>
      <c r="AG116" s="21"/>
      <c r="AH116" s="21"/>
      <c r="AI116" s="21"/>
      <c r="AJ116" s="21"/>
      <c r="AK116" s="6"/>
      <c r="AL116" s="6"/>
      <c r="AM116" s="6"/>
      <c r="AN116" s="6"/>
      <c r="AO116" s="6"/>
      <c r="AP116" s="6"/>
    </row>
    <row r="117" spans="2:42" ht="12.7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21"/>
      <c r="N117" s="6"/>
      <c r="O117" s="6"/>
      <c r="P117" s="6"/>
      <c r="Q117" s="6"/>
      <c r="R117" s="21"/>
      <c r="S117" s="6"/>
      <c r="T117" s="6"/>
      <c r="U117" s="6"/>
      <c r="V117" s="6"/>
      <c r="W117" s="6"/>
      <c r="X117" s="6"/>
      <c r="Y117" s="6"/>
      <c r="Z117" s="21"/>
      <c r="AA117" s="21"/>
      <c r="AB117" s="6"/>
      <c r="AC117" s="6"/>
      <c r="AD117" s="6"/>
      <c r="AE117" s="6"/>
      <c r="AF117" s="6"/>
      <c r="AG117" s="21"/>
      <c r="AH117" s="21"/>
      <c r="AI117" s="21"/>
      <c r="AJ117" s="21"/>
      <c r="AK117" s="6"/>
      <c r="AL117" s="6"/>
      <c r="AM117" s="6"/>
      <c r="AN117" s="6"/>
      <c r="AO117" s="6"/>
      <c r="AP117" s="6"/>
    </row>
    <row r="118" spans="2:42" ht="12.7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21"/>
      <c r="N118" s="6"/>
      <c r="O118" s="6"/>
      <c r="P118" s="6"/>
      <c r="Q118" s="6"/>
      <c r="R118" s="21"/>
      <c r="S118" s="6"/>
      <c r="T118" s="6"/>
      <c r="U118" s="6"/>
      <c r="V118" s="6"/>
      <c r="W118" s="6"/>
      <c r="X118" s="6"/>
      <c r="Y118" s="6"/>
      <c r="Z118" s="21"/>
      <c r="AA118" s="21"/>
      <c r="AB118" s="6"/>
      <c r="AC118" s="6"/>
      <c r="AD118" s="6"/>
      <c r="AE118" s="6"/>
      <c r="AF118" s="6"/>
      <c r="AG118" s="21"/>
      <c r="AH118" s="21"/>
      <c r="AI118" s="21"/>
      <c r="AJ118" s="21"/>
      <c r="AK118" s="6"/>
      <c r="AL118" s="6"/>
      <c r="AM118" s="6"/>
      <c r="AN118" s="6"/>
      <c r="AO118" s="6"/>
      <c r="AP118" s="6"/>
    </row>
    <row r="119" spans="2:42" ht="12.7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21"/>
      <c r="N119" s="6"/>
      <c r="O119" s="6"/>
      <c r="P119" s="6"/>
      <c r="Q119" s="6"/>
      <c r="R119" s="21"/>
      <c r="S119" s="6"/>
      <c r="T119" s="6"/>
      <c r="U119" s="6"/>
      <c r="V119" s="6"/>
      <c r="W119" s="6"/>
      <c r="X119" s="6"/>
      <c r="Y119" s="6"/>
      <c r="Z119" s="21"/>
      <c r="AA119" s="21"/>
      <c r="AB119" s="6"/>
      <c r="AC119" s="6"/>
      <c r="AD119" s="6"/>
      <c r="AE119" s="6"/>
      <c r="AF119" s="6"/>
      <c r="AG119" s="21"/>
      <c r="AH119" s="21"/>
      <c r="AI119" s="21"/>
      <c r="AJ119" s="21"/>
      <c r="AK119" s="6"/>
      <c r="AL119" s="6"/>
      <c r="AM119" s="6"/>
      <c r="AN119" s="6"/>
      <c r="AO119" s="6"/>
      <c r="AP119" s="6"/>
    </row>
    <row r="120" spans="2:42" ht="12.7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21"/>
      <c r="N120" s="6"/>
      <c r="O120" s="6"/>
      <c r="P120" s="6"/>
      <c r="Q120" s="6"/>
      <c r="R120" s="21"/>
      <c r="S120" s="6"/>
      <c r="T120" s="6"/>
      <c r="U120" s="6"/>
      <c r="V120" s="6"/>
      <c r="W120" s="6"/>
      <c r="X120" s="6"/>
      <c r="Y120" s="6"/>
      <c r="Z120" s="21"/>
      <c r="AA120" s="21"/>
      <c r="AB120" s="6"/>
      <c r="AC120" s="6"/>
      <c r="AD120" s="6"/>
      <c r="AE120" s="6"/>
      <c r="AF120" s="6"/>
      <c r="AG120" s="21"/>
      <c r="AH120" s="21"/>
      <c r="AI120" s="21"/>
      <c r="AJ120" s="21"/>
      <c r="AK120" s="6"/>
      <c r="AL120" s="6"/>
      <c r="AM120" s="6"/>
      <c r="AN120" s="6"/>
      <c r="AO120" s="6"/>
      <c r="AP120" s="6"/>
    </row>
    <row r="121" spans="2:42" ht="12.7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21"/>
      <c r="N121" s="6"/>
      <c r="O121" s="6"/>
      <c r="P121" s="6"/>
      <c r="Q121" s="6"/>
      <c r="R121" s="21"/>
      <c r="S121" s="6"/>
      <c r="T121" s="6"/>
      <c r="U121" s="6"/>
      <c r="V121" s="6"/>
      <c r="W121" s="6"/>
      <c r="X121" s="6"/>
      <c r="Y121" s="6"/>
      <c r="Z121" s="21"/>
      <c r="AA121" s="21"/>
      <c r="AB121" s="6"/>
      <c r="AC121" s="6"/>
      <c r="AD121" s="6"/>
      <c r="AE121" s="6"/>
      <c r="AF121" s="6"/>
      <c r="AG121" s="21"/>
      <c r="AH121" s="21"/>
      <c r="AI121" s="21"/>
      <c r="AJ121" s="21"/>
      <c r="AK121" s="6"/>
      <c r="AL121" s="6"/>
      <c r="AM121" s="6"/>
      <c r="AN121" s="6"/>
      <c r="AO121" s="6"/>
      <c r="AP121" s="6"/>
    </row>
    <row r="122" spans="2:42" ht="12.7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21"/>
      <c r="N122" s="6"/>
      <c r="O122" s="6"/>
      <c r="P122" s="6"/>
      <c r="Q122" s="6"/>
      <c r="R122" s="21"/>
      <c r="S122" s="6"/>
      <c r="T122" s="6"/>
      <c r="U122" s="6"/>
      <c r="V122" s="6"/>
      <c r="W122" s="6"/>
      <c r="X122" s="6"/>
      <c r="Y122" s="6"/>
      <c r="Z122" s="21"/>
      <c r="AA122" s="21"/>
      <c r="AB122" s="6"/>
      <c r="AC122" s="6"/>
      <c r="AD122" s="6"/>
      <c r="AE122" s="6"/>
      <c r="AF122" s="6"/>
      <c r="AG122" s="21"/>
      <c r="AH122" s="21"/>
      <c r="AI122" s="21"/>
      <c r="AJ122" s="21"/>
      <c r="AK122" s="6"/>
      <c r="AL122" s="6"/>
      <c r="AM122" s="6"/>
      <c r="AN122" s="6"/>
      <c r="AO122" s="6"/>
      <c r="AP122" s="6"/>
    </row>
    <row r="123" spans="2:42" ht="12.7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21"/>
      <c r="N123" s="6"/>
      <c r="O123" s="6"/>
      <c r="P123" s="6"/>
      <c r="Q123" s="6"/>
      <c r="R123" s="21"/>
      <c r="S123" s="6"/>
      <c r="T123" s="6"/>
      <c r="U123" s="6"/>
      <c r="V123" s="6"/>
      <c r="W123" s="6"/>
      <c r="X123" s="6"/>
      <c r="Y123" s="6"/>
      <c r="Z123" s="21"/>
      <c r="AA123" s="21"/>
      <c r="AB123" s="6"/>
      <c r="AC123" s="6"/>
      <c r="AD123" s="6"/>
      <c r="AE123" s="6"/>
      <c r="AF123" s="6"/>
      <c r="AG123" s="21"/>
      <c r="AH123" s="21"/>
      <c r="AI123" s="21"/>
      <c r="AJ123" s="21"/>
      <c r="AK123" s="6"/>
      <c r="AL123" s="6"/>
      <c r="AM123" s="6"/>
      <c r="AN123" s="6"/>
      <c r="AO123" s="6"/>
      <c r="AP123" s="6"/>
    </row>
    <row r="124" spans="2:42" ht="12.7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21"/>
      <c r="N124" s="6"/>
      <c r="O124" s="6"/>
      <c r="P124" s="6"/>
      <c r="Q124" s="6"/>
      <c r="R124" s="21"/>
      <c r="S124" s="6"/>
      <c r="T124" s="6"/>
      <c r="U124" s="6"/>
      <c r="V124" s="6"/>
      <c r="W124" s="6"/>
      <c r="X124" s="6"/>
      <c r="Y124" s="6"/>
      <c r="Z124" s="21"/>
      <c r="AA124" s="21"/>
      <c r="AB124" s="6"/>
      <c r="AC124" s="6"/>
      <c r="AD124" s="6"/>
      <c r="AE124" s="6"/>
      <c r="AF124" s="6"/>
      <c r="AG124" s="21"/>
      <c r="AH124" s="21"/>
      <c r="AI124" s="21"/>
      <c r="AJ124" s="21"/>
      <c r="AK124" s="6"/>
      <c r="AL124" s="6"/>
      <c r="AM124" s="6"/>
      <c r="AN124" s="6"/>
      <c r="AO124" s="6"/>
      <c r="AP124" s="6"/>
    </row>
    <row r="125" spans="2:42" ht="12.7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21"/>
      <c r="N125" s="6"/>
      <c r="O125" s="6"/>
      <c r="P125" s="6"/>
      <c r="Q125" s="6"/>
      <c r="R125" s="21"/>
      <c r="S125" s="6"/>
      <c r="T125" s="6"/>
      <c r="U125" s="6"/>
      <c r="V125" s="6"/>
      <c r="W125" s="6"/>
      <c r="X125" s="6"/>
      <c r="Y125" s="6"/>
      <c r="Z125" s="21"/>
      <c r="AA125" s="21"/>
      <c r="AB125" s="6"/>
      <c r="AC125" s="6"/>
      <c r="AD125" s="6"/>
      <c r="AE125" s="6"/>
      <c r="AF125" s="6"/>
      <c r="AG125" s="21"/>
      <c r="AH125" s="21"/>
      <c r="AI125" s="21"/>
      <c r="AJ125" s="21"/>
      <c r="AK125" s="6"/>
      <c r="AL125" s="6"/>
      <c r="AM125" s="6"/>
      <c r="AN125" s="6"/>
      <c r="AO125" s="6"/>
      <c r="AP125" s="6"/>
    </row>
    <row r="126" spans="2:42" ht="12.7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21"/>
      <c r="N126" s="6"/>
      <c r="O126" s="6"/>
      <c r="P126" s="6"/>
      <c r="Q126" s="6"/>
      <c r="R126" s="21"/>
      <c r="S126" s="6"/>
      <c r="T126" s="6"/>
      <c r="U126" s="6"/>
      <c r="V126" s="6"/>
      <c r="W126" s="6"/>
      <c r="X126" s="6"/>
      <c r="Y126" s="6"/>
      <c r="Z126" s="21"/>
      <c r="AA126" s="21"/>
      <c r="AB126" s="6"/>
      <c r="AC126" s="6"/>
      <c r="AD126" s="6"/>
      <c r="AE126" s="6"/>
      <c r="AF126" s="6"/>
      <c r="AG126" s="21"/>
      <c r="AH126" s="21"/>
      <c r="AI126" s="21"/>
      <c r="AJ126" s="21"/>
      <c r="AK126" s="6"/>
      <c r="AL126" s="6"/>
      <c r="AM126" s="6"/>
      <c r="AN126" s="6"/>
      <c r="AO126" s="6"/>
      <c r="AP126" s="6"/>
    </row>
    <row r="127" spans="2:42" ht="12.7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21"/>
      <c r="N127" s="6"/>
      <c r="O127" s="6"/>
      <c r="P127" s="6"/>
      <c r="Q127" s="6"/>
      <c r="R127" s="21"/>
      <c r="S127" s="6"/>
      <c r="T127" s="6"/>
      <c r="U127" s="6"/>
      <c r="V127" s="6"/>
      <c r="W127" s="6"/>
      <c r="X127" s="6"/>
      <c r="Y127" s="6"/>
      <c r="Z127" s="21"/>
      <c r="AA127" s="21"/>
      <c r="AB127" s="6"/>
      <c r="AC127" s="6"/>
      <c r="AD127" s="6"/>
      <c r="AE127" s="6"/>
      <c r="AF127" s="6"/>
      <c r="AG127" s="21"/>
      <c r="AH127" s="21"/>
      <c r="AI127" s="21"/>
      <c r="AJ127" s="21"/>
      <c r="AK127" s="6"/>
      <c r="AL127" s="6"/>
      <c r="AM127" s="6"/>
      <c r="AN127" s="6"/>
      <c r="AO127" s="6"/>
      <c r="AP127" s="6"/>
    </row>
    <row r="128" spans="2:42" ht="12.75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21"/>
      <c r="N128" s="6"/>
      <c r="O128" s="6"/>
      <c r="P128" s="6"/>
      <c r="Q128" s="6"/>
      <c r="R128" s="21"/>
      <c r="S128" s="6"/>
      <c r="T128" s="6"/>
      <c r="U128" s="6"/>
      <c r="V128" s="6"/>
      <c r="W128" s="6"/>
      <c r="X128" s="6"/>
      <c r="Y128" s="6"/>
      <c r="Z128" s="21"/>
      <c r="AA128" s="21"/>
      <c r="AB128" s="6"/>
      <c r="AC128" s="6"/>
      <c r="AD128" s="6"/>
      <c r="AE128" s="6"/>
      <c r="AF128" s="6"/>
      <c r="AG128" s="21"/>
      <c r="AH128" s="21"/>
      <c r="AI128" s="21"/>
      <c r="AJ128" s="21"/>
      <c r="AK128" s="6"/>
      <c r="AL128" s="6"/>
      <c r="AM128" s="6"/>
      <c r="AN128" s="6"/>
      <c r="AO128" s="6"/>
      <c r="AP128" s="6"/>
    </row>
    <row r="129" spans="2:42" ht="12.7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21"/>
      <c r="N129" s="6"/>
      <c r="O129" s="6"/>
      <c r="P129" s="6"/>
      <c r="Q129" s="6"/>
      <c r="R129" s="21"/>
      <c r="S129" s="6"/>
      <c r="T129" s="6"/>
      <c r="U129" s="6"/>
      <c r="V129" s="6"/>
      <c r="W129" s="6"/>
      <c r="X129" s="6"/>
      <c r="Y129" s="6"/>
      <c r="Z129" s="21"/>
      <c r="AA129" s="21"/>
      <c r="AB129" s="6"/>
      <c r="AC129" s="6"/>
      <c r="AD129" s="6"/>
      <c r="AE129" s="6"/>
      <c r="AF129" s="6"/>
      <c r="AG129" s="21"/>
      <c r="AH129" s="21"/>
      <c r="AI129" s="21"/>
      <c r="AJ129" s="21"/>
      <c r="AK129" s="6"/>
      <c r="AL129" s="6"/>
      <c r="AM129" s="6"/>
      <c r="AN129" s="6"/>
      <c r="AO129" s="6"/>
      <c r="AP129" s="6"/>
    </row>
    <row r="130" spans="2:42" ht="12.7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21"/>
      <c r="N130" s="6"/>
      <c r="O130" s="6"/>
      <c r="P130" s="6"/>
      <c r="Q130" s="6"/>
      <c r="R130" s="21"/>
      <c r="S130" s="6"/>
      <c r="T130" s="6"/>
      <c r="U130" s="6"/>
      <c r="V130" s="6"/>
      <c r="W130" s="6"/>
      <c r="X130" s="6"/>
      <c r="Y130" s="6"/>
      <c r="Z130" s="21"/>
      <c r="AA130" s="21"/>
      <c r="AB130" s="6"/>
      <c r="AC130" s="6"/>
      <c r="AD130" s="6"/>
      <c r="AE130" s="6"/>
      <c r="AF130" s="6"/>
      <c r="AG130" s="21"/>
      <c r="AH130" s="21"/>
      <c r="AI130" s="21"/>
      <c r="AJ130" s="21"/>
      <c r="AK130" s="6"/>
      <c r="AL130" s="6"/>
      <c r="AM130" s="6"/>
      <c r="AN130" s="6"/>
      <c r="AO130" s="6"/>
      <c r="AP130" s="6"/>
    </row>
    <row r="131" spans="2:42" ht="12.7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21"/>
      <c r="N131" s="6"/>
      <c r="O131" s="6"/>
      <c r="P131" s="6"/>
      <c r="Q131" s="6"/>
      <c r="R131" s="21"/>
      <c r="S131" s="6"/>
      <c r="T131" s="6"/>
      <c r="U131" s="6"/>
      <c r="V131" s="6"/>
      <c r="W131" s="6"/>
      <c r="X131" s="6"/>
      <c r="Y131" s="6"/>
      <c r="Z131" s="21"/>
      <c r="AA131" s="21"/>
      <c r="AB131" s="6"/>
      <c r="AC131" s="6"/>
      <c r="AD131" s="6"/>
      <c r="AE131" s="6"/>
      <c r="AF131" s="6"/>
      <c r="AG131" s="21"/>
      <c r="AH131" s="21"/>
      <c r="AI131" s="21"/>
      <c r="AJ131" s="21"/>
      <c r="AK131" s="6"/>
      <c r="AL131" s="6"/>
      <c r="AM131" s="6"/>
      <c r="AN131" s="6"/>
      <c r="AO131" s="6"/>
      <c r="AP131" s="6"/>
    </row>
    <row r="132" spans="2:42" ht="12.7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21"/>
      <c r="N132" s="6"/>
      <c r="O132" s="6"/>
      <c r="P132" s="6"/>
      <c r="Q132" s="6"/>
      <c r="R132" s="21"/>
      <c r="S132" s="6"/>
      <c r="T132" s="6"/>
      <c r="U132" s="6"/>
      <c r="V132" s="6"/>
      <c r="W132" s="6"/>
      <c r="X132" s="6"/>
      <c r="Y132" s="6"/>
      <c r="Z132" s="21"/>
      <c r="AA132" s="21"/>
      <c r="AB132" s="6"/>
      <c r="AC132" s="6"/>
      <c r="AD132" s="6"/>
      <c r="AE132" s="6"/>
      <c r="AF132" s="6"/>
      <c r="AG132" s="21"/>
      <c r="AH132" s="21"/>
      <c r="AI132" s="21"/>
      <c r="AJ132" s="21"/>
      <c r="AK132" s="6"/>
      <c r="AL132" s="6"/>
      <c r="AM132" s="6"/>
      <c r="AN132" s="6"/>
      <c r="AO132" s="6"/>
      <c r="AP132" s="6"/>
    </row>
    <row r="133" spans="2:42" ht="12.7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21"/>
      <c r="N133" s="6"/>
      <c r="O133" s="6"/>
      <c r="P133" s="6"/>
      <c r="Q133" s="6"/>
      <c r="R133" s="21"/>
      <c r="S133" s="6"/>
      <c r="T133" s="6"/>
      <c r="U133" s="6"/>
      <c r="V133" s="6"/>
      <c r="W133" s="6"/>
      <c r="X133" s="6"/>
      <c r="Y133" s="6"/>
      <c r="Z133" s="21"/>
      <c r="AA133" s="21"/>
      <c r="AB133" s="6"/>
      <c r="AC133" s="6"/>
      <c r="AD133" s="6"/>
      <c r="AE133" s="6"/>
      <c r="AF133" s="6"/>
      <c r="AG133" s="21"/>
      <c r="AH133" s="21"/>
      <c r="AI133" s="21"/>
      <c r="AJ133" s="21"/>
      <c r="AK133" s="6"/>
      <c r="AL133" s="6"/>
      <c r="AM133" s="6"/>
      <c r="AN133" s="6"/>
      <c r="AO133" s="6"/>
      <c r="AP133" s="6"/>
    </row>
    <row r="134" spans="2:42" ht="12.7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21"/>
      <c r="N134" s="6"/>
      <c r="O134" s="6"/>
      <c r="P134" s="6"/>
      <c r="Q134" s="6"/>
      <c r="R134" s="21"/>
      <c r="S134" s="6"/>
      <c r="T134" s="6"/>
      <c r="U134" s="6"/>
      <c r="V134" s="6"/>
      <c r="W134" s="6"/>
      <c r="X134" s="6"/>
      <c r="Y134" s="6"/>
      <c r="Z134" s="21"/>
      <c r="AA134" s="21"/>
      <c r="AB134" s="6"/>
      <c r="AC134" s="6"/>
      <c r="AD134" s="6"/>
      <c r="AE134" s="6"/>
      <c r="AF134" s="6"/>
      <c r="AG134" s="21"/>
      <c r="AH134" s="21"/>
      <c r="AI134" s="21"/>
      <c r="AJ134" s="21"/>
      <c r="AK134" s="6"/>
      <c r="AL134" s="6"/>
      <c r="AM134" s="6"/>
      <c r="AN134" s="6"/>
      <c r="AO134" s="6"/>
      <c r="AP134" s="6"/>
    </row>
    <row r="135" spans="2:42" ht="12.7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21"/>
      <c r="N135" s="6"/>
      <c r="O135" s="6"/>
      <c r="P135" s="6"/>
      <c r="Q135" s="6"/>
      <c r="R135" s="21"/>
      <c r="S135" s="6"/>
      <c r="T135" s="6"/>
      <c r="U135" s="6"/>
      <c r="V135" s="6"/>
      <c r="W135" s="6"/>
      <c r="X135" s="6"/>
      <c r="Y135" s="6"/>
      <c r="Z135" s="21"/>
      <c r="AA135" s="21"/>
      <c r="AB135" s="6"/>
      <c r="AC135" s="6"/>
      <c r="AD135" s="6"/>
      <c r="AE135" s="6"/>
      <c r="AF135" s="6"/>
      <c r="AG135" s="21"/>
      <c r="AH135" s="21"/>
      <c r="AI135" s="21"/>
      <c r="AJ135" s="21"/>
      <c r="AK135" s="6"/>
      <c r="AL135" s="6"/>
      <c r="AM135" s="6"/>
      <c r="AN135" s="6"/>
      <c r="AO135" s="6"/>
      <c r="AP135" s="6"/>
    </row>
    <row r="136" spans="2:42" ht="12.7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21"/>
      <c r="N136" s="6"/>
      <c r="O136" s="6"/>
      <c r="P136" s="6"/>
      <c r="Q136" s="6"/>
      <c r="R136" s="21"/>
      <c r="S136" s="6"/>
      <c r="T136" s="6"/>
      <c r="U136" s="6"/>
      <c r="V136" s="6"/>
      <c r="W136" s="6"/>
      <c r="X136" s="6"/>
      <c r="Y136" s="6"/>
      <c r="Z136" s="21"/>
      <c r="AA136" s="21"/>
      <c r="AB136" s="6"/>
      <c r="AC136" s="6"/>
      <c r="AD136" s="6"/>
      <c r="AE136" s="6"/>
      <c r="AF136" s="6"/>
      <c r="AG136" s="21"/>
      <c r="AH136" s="21"/>
      <c r="AI136" s="21"/>
      <c r="AJ136" s="21"/>
      <c r="AK136" s="6"/>
      <c r="AL136" s="6"/>
      <c r="AM136" s="6"/>
      <c r="AN136" s="6"/>
      <c r="AO136" s="6"/>
      <c r="AP136" s="6"/>
    </row>
    <row r="137" spans="2:42" ht="12.7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21"/>
      <c r="N137" s="6"/>
      <c r="O137" s="6"/>
      <c r="P137" s="6"/>
      <c r="Q137" s="6"/>
      <c r="R137" s="21"/>
      <c r="S137" s="6"/>
      <c r="T137" s="6"/>
      <c r="U137" s="6"/>
      <c r="V137" s="6"/>
      <c r="W137" s="6"/>
      <c r="X137" s="6"/>
      <c r="Y137" s="6"/>
      <c r="Z137" s="21"/>
      <c r="AA137" s="21"/>
      <c r="AB137" s="6"/>
      <c r="AC137" s="6"/>
      <c r="AD137" s="6"/>
      <c r="AE137" s="6"/>
      <c r="AF137" s="6"/>
      <c r="AG137" s="21"/>
      <c r="AH137" s="21"/>
      <c r="AI137" s="21"/>
      <c r="AJ137" s="21"/>
      <c r="AK137" s="6"/>
      <c r="AL137" s="6"/>
      <c r="AM137" s="6"/>
      <c r="AN137" s="6"/>
      <c r="AO137" s="6"/>
      <c r="AP137" s="6"/>
    </row>
    <row r="138" spans="2:42" ht="12.7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21"/>
      <c r="N138" s="6"/>
      <c r="O138" s="6"/>
      <c r="P138" s="6"/>
      <c r="Q138" s="6"/>
      <c r="R138" s="21"/>
      <c r="S138" s="6"/>
      <c r="T138" s="6"/>
      <c r="U138" s="6"/>
      <c r="V138" s="6"/>
      <c r="W138" s="6"/>
      <c r="X138" s="6"/>
      <c r="Y138" s="6"/>
      <c r="Z138" s="21"/>
      <c r="AA138" s="21"/>
      <c r="AB138" s="6"/>
      <c r="AC138" s="6"/>
      <c r="AD138" s="6"/>
      <c r="AE138" s="6"/>
      <c r="AF138" s="6"/>
      <c r="AG138" s="21"/>
      <c r="AH138" s="21"/>
      <c r="AI138" s="21"/>
      <c r="AJ138" s="21"/>
      <c r="AK138" s="6"/>
      <c r="AL138" s="6"/>
      <c r="AM138" s="6"/>
      <c r="AN138" s="6"/>
      <c r="AO138" s="6"/>
      <c r="AP138" s="6"/>
    </row>
    <row r="179" spans="26:35" ht="12.75">
      <c r="Z179" s="26"/>
      <c r="AA179" s="26"/>
      <c r="AB179" s="27"/>
      <c r="AC179" s="27"/>
      <c r="AD179" s="27"/>
      <c r="AE179" s="27"/>
      <c r="AF179" s="27"/>
      <c r="AG179" s="26"/>
      <c r="AH179" s="26"/>
      <c r="AI179" s="26"/>
    </row>
    <row r="180" spans="26:35" ht="12.75">
      <c r="Z180" s="26"/>
      <c r="AA180" s="26"/>
      <c r="AB180" s="27"/>
      <c r="AC180" s="27"/>
      <c r="AD180" s="27"/>
      <c r="AE180" s="27"/>
      <c r="AF180" s="27"/>
      <c r="AG180" s="26"/>
      <c r="AH180" s="26"/>
      <c r="AI180" s="26"/>
    </row>
    <row r="181" spans="26:35" ht="12.75">
      <c r="Z181" s="26"/>
      <c r="AA181" s="26"/>
      <c r="AB181" s="27"/>
      <c r="AC181" s="27"/>
      <c r="AD181" s="27"/>
      <c r="AE181" s="27"/>
      <c r="AF181" s="27"/>
      <c r="AG181" s="26"/>
      <c r="AH181" s="26"/>
      <c r="AI181" s="26"/>
    </row>
    <row r="182" spans="26:35" ht="12.75">
      <c r="Z182" s="26"/>
      <c r="AA182" s="26"/>
      <c r="AB182" s="27"/>
      <c r="AC182" s="27"/>
      <c r="AD182" s="27"/>
      <c r="AE182" s="27"/>
      <c r="AF182" s="27"/>
      <c r="AG182" s="26"/>
      <c r="AH182" s="26"/>
      <c r="AI182" s="26"/>
    </row>
    <row r="183" spans="26:35" ht="12.75">
      <c r="Z183" s="26"/>
      <c r="AA183" s="26"/>
      <c r="AB183" s="27"/>
      <c r="AC183" s="27"/>
      <c r="AD183" s="27"/>
      <c r="AE183" s="27"/>
      <c r="AF183" s="27"/>
      <c r="AG183" s="26"/>
      <c r="AH183" s="26"/>
      <c r="AI183" s="26"/>
    </row>
    <row r="184" spans="26:35" ht="12.75">
      <c r="Z184" s="26"/>
      <c r="AA184" s="26"/>
      <c r="AB184" s="27"/>
      <c r="AC184" s="27"/>
      <c r="AD184" s="27"/>
      <c r="AE184" s="27"/>
      <c r="AF184" s="27"/>
      <c r="AG184" s="26"/>
      <c r="AH184" s="26"/>
      <c r="AI184" s="26"/>
    </row>
    <row r="185" spans="26:35" ht="12.75">
      <c r="Z185" s="26"/>
      <c r="AA185" s="26"/>
      <c r="AB185" s="27"/>
      <c r="AC185" s="27"/>
      <c r="AD185" s="27"/>
      <c r="AE185" s="27"/>
      <c r="AF185" s="27"/>
      <c r="AG185" s="26"/>
      <c r="AH185" s="26"/>
      <c r="AI185" s="26"/>
    </row>
    <row r="186" spans="26:35" ht="12.75">
      <c r="Z186" s="26"/>
      <c r="AA186" s="26"/>
      <c r="AB186" s="27"/>
      <c r="AC186" s="27"/>
      <c r="AD186" s="27"/>
      <c r="AE186" s="27"/>
      <c r="AF186" s="27"/>
      <c r="AG186" s="26"/>
      <c r="AH186" s="26"/>
      <c r="AI186" s="26"/>
    </row>
  </sheetData>
  <sheetProtection/>
  <mergeCells count="2">
    <mergeCell ref="A1:AP1"/>
    <mergeCell ref="A2:AP2"/>
  </mergeCells>
  <conditionalFormatting sqref="AP9:AP100">
    <cfRule type="cellIs" priority="1" dxfId="10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  <rowBreaks count="1" manualBreakCount="1">
    <brk id="10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11.00390625" style="0" customWidth="1"/>
    <col min="13" max="13" width="10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70" t="s">
        <v>12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</row>
    <row r="2" spans="1:33" ht="22.5" customHeight="1">
      <c r="A2" s="171" t="s">
        <v>53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19568.3</v>
      </c>
      <c r="AF7" s="54"/>
      <c r="AG7" s="40"/>
    </row>
    <row r="8" spans="1:55" ht="18" customHeight="1">
      <c r="A8" s="47" t="s">
        <v>30</v>
      </c>
      <c r="B8" s="33">
        <f>SUM(E8:AB8)</f>
        <v>68838.2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SUM(E8:AD8)+C8-AF9+AF16+AF25</f>
        <v>88367.49999999996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153046.8</v>
      </c>
      <c r="C9" s="23">
        <f t="shared" si="0"/>
        <v>48548.6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4034.0999999999995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33857.2</v>
      </c>
      <c r="M9" s="90">
        <f t="shared" si="0"/>
        <v>13450.800000000001</v>
      </c>
      <c r="N9" s="68">
        <f t="shared" si="0"/>
        <v>7202.2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83845.70000000001</v>
      </c>
      <c r="AG9" s="90">
        <f>AG10+AG15+AG24+AG33+AG47+AG52+AG54+AG61+AG62+AG71+AG72+AG76+AG88+AG81+AG83+AG82+AG69+AG89+AG91+AG90+AG70+AG40+AG92</f>
        <v>117749.70000000001</v>
      </c>
      <c r="AH9" s="41"/>
      <c r="AI9" s="41"/>
    </row>
    <row r="10" spans="1:33" ht="15.75">
      <c r="A10" s="4" t="s">
        <v>4</v>
      </c>
      <c r="B10" s="22">
        <v>17247.5</v>
      </c>
      <c r="C10" s="22">
        <v>1956.9999999999982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3844.7</v>
      </c>
      <c r="M10" s="72">
        <v>1728.3</v>
      </c>
      <c r="N10" s="67">
        <v>5.1</v>
      </c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7823.1</v>
      </c>
      <c r="AG10" s="72">
        <f>B10+C10-AF10</f>
        <v>11381.4</v>
      </c>
    </row>
    <row r="11" spans="1:33" ht="15.75">
      <c r="A11" s="3" t="s">
        <v>5</v>
      </c>
      <c r="B11" s="22">
        <v>16171</v>
      </c>
      <c r="C11" s="22">
        <v>1076.2999999999993</v>
      </c>
      <c r="D11" s="67"/>
      <c r="E11" s="67">
        <v>39.8</v>
      </c>
      <c r="F11" s="67">
        <v>0.3</v>
      </c>
      <c r="G11" s="67">
        <v>122</v>
      </c>
      <c r="H11" s="67">
        <v>1.4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7400.4</v>
      </c>
      <c r="AG11" s="72">
        <f>B11+C11-AF11</f>
        <v>9846.9</v>
      </c>
    </row>
    <row r="12" spans="1:33" ht="15.75">
      <c r="A12" s="3" t="s">
        <v>2</v>
      </c>
      <c r="B12" s="29">
        <v>403.8</v>
      </c>
      <c r="C12" s="22">
        <v>412.20000000000005</v>
      </c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61.6</v>
      </c>
      <c r="AG12" s="72">
        <f>B12+C12-AF12</f>
        <v>754.4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672.7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155.29999999999998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16.699999999999818</v>
      </c>
      <c r="M14" s="72">
        <f t="shared" si="2"/>
        <v>70.70000000000005</v>
      </c>
      <c r="N14" s="67">
        <f t="shared" si="2"/>
        <v>5.1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361.0999999999999</v>
      </c>
      <c r="AG14" s="72">
        <f>AG10-AG11-AG12-AG13</f>
        <v>780.1</v>
      </c>
    </row>
    <row r="15" spans="1:33" ht="15" customHeight="1">
      <c r="A15" s="4" t="s">
        <v>6</v>
      </c>
      <c r="B15" s="22">
        <v>69948.9</v>
      </c>
      <c r="C15" s="22">
        <v>13865.100000000006</v>
      </c>
      <c r="D15" s="73">
        <f>2403.3+273.5</f>
        <v>2676.8</v>
      </c>
      <c r="E15" s="73"/>
      <c r="F15" s="67">
        <v>220.6</v>
      </c>
      <c r="G15" s="67">
        <v>39.4</v>
      </c>
      <c r="H15" s="67">
        <v>2669.9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2528.1</v>
      </c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34918.5</v>
      </c>
      <c r="AG15" s="72">
        <f aca="true" t="shared" si="3" ref="AG15:AG31">B15+C15-AF15</f>
        <v>48895.5</v>
      </c>
    </row>
    <row r="16" spans="1:34" s="53" customFormat="1" ht="15" customHeight="1">
      <c r="A16" s="51" t="s">
        <v>38</v>
      </c>
      <c r="B16" s="52">
        <v>23019.6</v>
      </c>
      <c r="C16" s="52">
        <v>288.09999999999854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10783.7</v>
      </c>
      <c r="AG16" s="88">
        <f t="shared" si="3"/>
        <v>12523.999999999996</v>
      </c>
      <c r="AH16" s="57"/>
    </row>
    <row r="17" spans="1:34" ht="15.75">
      <c r="A17" s="3" t="s">
        <v>5</v>
      </c>
      <c r="B17" s="22">
        <v>51892</v>
      </c>
      <c r="C17" s="22">
        <v>2988.5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27430.2</v>
      </c>
      <c r="AG17" s="72">
        <f t="shared" si="3"/>
        <v>27450.3</v>
      </c>
      <c r="AH17" s="6"/>
    </row>
    <row r="18" spans="1:33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</row>
    <row r="19" spans="1:33" ht="15.75">
      <c r="A19" s="3" t="s">
        <v>1</v>
      </c>
      <c r="B19" s="22">
        <v>4860.8</v>
      </c>
      <c r="C19" s="22">
        <v>2551.7000000000007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2497.6</v>
      </c>
      <c r="AG19" s="72">
        <f t="shared" si="3"/>
        <v>4914.9000000000015</v>
      </c>
    </row>
    <row r="20" spans="1:33" ht="15.75">
      <c r="A20" s="3" t="s">
        <v>2</v>
      </c>
      <c r="B20" s="22">
        <f>11895.2-159.6</f>
        <v>11735.6</v>
      </c>
      <c r="C20" s="22">
        <v>8061.6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4564.199999999999</v>
      </c>
      <c r="AG20" s="72">
        <f t="shared" si="3"/>
        <v>15233.000000000002</v>
      </c>
    </row>
    <row r="21" spans="1:33" ht="15.75">
      <c r="A21" s="3" t="s">
        <v>16</v>
      </c>
      <c r="B21" s="22">
        <v>1081.9</v>
      </c>
      <c r="C21" s="22">
        <v>49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190</v>
      </c>
      <c r="AG21" s="72">
        <f t="shared" si="3"/>
        <v>940.9000000000001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362.2999999999952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3.6000000000001364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220.19999999999726</v>
      </c>
      <c r="AG23" s="72">
        <f t="shared" si="3"/>
        <v>356.4000000000038</v>
      </c>
    </row>
    <row r="24" spans="1:33" ht="15" customHeight="1">
      <c r="A24" s="4" t="s">
        <v>7</v>
      </c>
      <c r="B24" s="22">
        <v>32042</v>
      </c>
      <c r="C24" s="22">
        <v>8025.399999999998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4030.7+430.2</f>
        <v>4460.9</v>
      </c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15297.4</v>
      </c>
      <c r="AG24" s="72">
        <f t="shared" si="3"/>
        <v>24769.999999999993</v>
      </c>
    </row>
    <row r="25" spans="1:34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10895</v>
      </c>
      <c r="AG25" s="88">
        <f t="shared" si="3"/>
        <v>6143.200000000001</v>
      </c>
      <c r="AH25" s="57"/>
    </row>
    <row r="26" spans="1:34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>
        <v>83.3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166.6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31958.7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4460.9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15297.4</v>
      </c>
      <c r="AG32" s="72">
        <f>AG24-AG30</f>
        <v>24603.399999999994</v>
      </c>
    </row>
    <row r="33" spans="1:33" ht="15" customHeight="1">
      <c r="A33" s="4" t="s">
        <v>8</v>
      </c>
      <c r="B33" s="22">
        <v>759.3</v>
      </c>
      <c r="C33" s="22">
        <v>471.49999999999994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104.30000000000001</v>
      </c>
      <c r="AG33" s="72">
        <f aca="true" t="shared" si="6" ref="AG33:AG38">B33+C33-AF33</f>
        <v>1126.5</v>
      </c>
    </row>
    <row r="34" spans="1:33" ht="15.75">
      <c r="A34" s="3" t="s">
        <v>5</v>
      </c>
      <c r="B34" s="22">
        <v>315.1</v>
      </c>
      <c r="C34" s="22">
        <v>34.89999999999998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92.9</v>
      </c>
      <c r="AG34" s="72">
        <f t="shared" si="6"/>
        <v>257.1</v>
      </c>
    </row>
    <row r="35" spans="1:33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118.8</v>
      </c>
      <c r="C36" s="22">
        <v>114.1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9.6</v>
      </c>
      <c r="AG36" s="72">
        <f t="shared" si="6"/>
        <v>223.29999999999998</v>
      </c>
    </row>
    <row r="37" spans="1:33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325.3999999999999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646.1</v>
      </c>
    </row>
    <row r="40" spans="1:33" ht="15" customHeight="1">
      <c r="A40" s="4" t="s">
        <v>29</v>
      </c>
      <c r="B40" s="22">
        <v>1131.4</v>
      </c>
      <c r="C40" s="22">
        <v>88.40000000000009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556.8000000000001</v>
      </c>
      <c r="AG40" s="72">
        <f aca="true" t="shared" si="8" ref="AG40:AG45">B40+C40-AF40</f>
        <v>663.0000000000001</v>
      </c>
    </row>
    <row r="41" spans="1:34" ht="15.75">
      <c r="A41" s="3" t="s">
        <v>5</v>
      </c>
      <c r="B41" s="22">
        <v>985.3</v>
      </c>
      <c r="C41" s="22">
        <v>5.699999999999932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510.1</v>
      </c>
      <c r="AG41" s="72">
        <f t="shared" si="8"/>
        <v>480.89999999999986</v>
      </c>
      <c r="AH41" s="6"/>
    </row>
    <row r="42" spans="1:33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</row>
    <row r="43" spans="1:33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</row>
    <row r="44" spans="1:33" ht="15.75">
      <c r="A44" s="3" t="s">
        <v>2</v>
      </c>
      <c r="B44" s="22">
        <v>118.4</v>
      </c>
      <c r="C44" s="22">
        <v>77.4</v>
      </c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37.9</v>
      </c>
      <c r="AG44" s="72">
        <f t="shared" si="8"/>
        <v>157.9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9" ref="B46:AD46">B40-B41-B42-B43-B44-B45</f>
        <v>16.90000000000012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0.500000000000027</v>
      </c>
      <c r="AG46" s="72">
        <f>AG40-AG41-AG42-AG43-AG44-AG45</f>
        <v>21.700000000000244</v>
      </c>
    </row>
    <row r="47" spans="1:33" ht="17.25" customHeight="1">
      <c r="A47" s="4" t="s">
        <v>43</v>
      </c>
      <c r="B47" s="29">
        <v>4760.8</v>
      </c>
      <c r="C47" s="22">
        <v>2831.5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2392.5000000000005</v>
      </c>
      <c r="AG47" s="72">
        <f>B47+C47-AF47</f>
        <v>5199.799999999999</v>
      </c>
    </row>
    <row r="48" spans="1:33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</row>
    <row r="49" spans="1:33" ht="15.75">
      <c r="A49" s="3" t="s">
        <v>16</v>
      </c>
      <c r="B49" s="22">
        <v>4657.2</v>
      </c>
      <c r="C49" s="22">
        <v>2730.0999999999995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2352.2000000000003</v>
      </c>
      <c r="AG49" s="72">
        <f>B49+C49-AF49</f>
        <v>5035.0999999999985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0" ref="B51:AD51">B47-B48-B49</f>
        <v>103.60000000000036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40.3</v>
      </c>
      <c r="AG51" s="72">
        <f>AG47-AG49-AG48</f>
        <v>164.70000000000073</v>
      </c>
    </row>
    <row r="52" spans="1:33" ht="15" customHeight="1">
      <c r="A52" s="4" t="s">
        <v>0</v>
      </c>
      <c r="B52" s="22">
        <f>5598.5-173.7-321.7</f>
        <v>5103.1</v>
      </c>
      <c r="C52" s="22">
        <v>3557.9000000000005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1040.8999999999999</v>
      </c>
      <c r="AG52" s="72">
        <f aca="true" t="shared" si="11" ref="AG52:AG59">B52+C52-AF52</f>
        <v>7620.1</v>
      </c>
    </row>
    <row r="53" spans="1:33" ht="15" customHeight="1">
      <c r="A53" s="3" t="s">
        <v>2</v>
      </c>
      <c r="B53" s="22">
        <f>1290-18</f>
        <v>1272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2.6</v>
      </c>
      <c r="AG53" s="72">
        <f t="shared" si="11"/>
        <v>2458.4</v>
      </c>
    </row>
    <row r="54" spans="1:34" ht="15" customHeight="1">
      <c r="A54" s="4" t="s">
        <v>9</v>
      </c>
      <c r="B54" s="36">
        <v>2072.4</v>
      </c>
      <c r="C54" s="22">
        <v>761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173.9</v>
      </c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889.6</v>
      </c>
      <c r="AG54" s="72">
        <f t="shared" si="11"/>
        <v>1943.8000000000002</v>
      </c>
      <c r="AH54" s="6"/>
    </row>
    <row r="55" spans="1:34" ht="15.75">
      <c r="A55" s="3" t="s">
        <v>5</v>
      </c>
      <c r="B55" s="22">
        <v>1147.8</v>
      </c>
      <c r="C55" s="22">
        <v>42.79999999999984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367.6</v>
      </c>
      <c r="AG55" s="72">
        <f t="shared" si="11"/>
        <v>822.9999999999999</v>
      </c>
      <c r="AH55" s="6"/>
    </row>
    <row r="56" spans="1:34" ht="15" customHeight="1">
      <c r="A56" s="3" t="s">
        <v>1</v>
      </c>
      <c r="B56" s="22">
        <v>8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8</v>
      </c>
      <c r="AH56" s="6"/>
    </row>
    <row r="57" spans="1:33" ht="15.75">
      <c r="A57" s="3" t="s">
        <v>2</v>
      </c>
      <c r="B57" s="29">
        <v>167.5</v>
      </c>
      <c r="C57" s="22">
        <v>166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0</v>
      </c>
      <c r="AG57" s="72">
        <f t="shared" si="11"/>
        <v>333.5</v>
      </c>
    </row>
    <row r="58" spans="1:33" ht="15.75">
      <c r="A58" s="3" t="s">
        <v>16</v>
      </c>
      <c r="B58" s="29">
        <v>17</v>
      </c>
      <c r="C58" s="22">
        <v>11.9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22">
        <f aca="true" t="shared" si="12" ref="B60:AD60">B54-B55-B57-B59-B56-B58</f>
        <v>732.1000000000001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173.9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522</v>
      </c>
      <c r="AG60" s="72">
        <f>AG54-AG55-AG57-AG59-AG56-AG58</f>
        <v>750.4000000000002</v>
      </c>
    </row>
    <row r="61" spans="1:33" ht="15" customHeight="1">
      <c r="A61" s="4" t="s">
        <v>10</v>
      </c>
      <c r="B61" s="22">
        <v>51.5</v>
      </c>
      <c r="C61" s="22">
        <v>33.5</v>
      </c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16.9</v>
      </c>
      <c r="AG61" s="72">
        <f aca="true" t="shared" si="14" ref="AG61:AG67">B61+C61-AF61</f>
        <v>68.1</v>
      </c>
    </row>
    <row r="62" spans="1:33" ht="15" customHeight="1">
      <c r="A62" s="4" t="s">
        <v>11</v>
      </c>
      <c r="B62" s="22">
        <v>3166.2</v>
      </c>
      <c r="C62" s="22">
        <v>1041.1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1268.8</v>
      </c>
      <c r="AG62" s="72">
        <f t="shared" si="14"/>
        <v>2938.499999999999</v>
      </c>
    </row>
    <row r="63" spans="1:34" ht="15.75">
      <c r="A63" s="3" t="s">
        <v>5</v>
      </c>
      <c r="B63" s="22">
        <v>1796.3</v>
      </c>
      <c r="C63" s="22">
        <v>94.20000000000005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865.2</v>
      </c>
      <c r="AG63" s="72">
        <f t="shared" si="14"/>
        <v>1025.3</v>
      </c>
      <c r="AH63" s="50"/>
    </row>
    <row r="64" spans="1:34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22">
        <v>92.7</v>
      </c>
      <c r="C65" s="22">
        <v>75.60000000000001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31.1</v>
      </c>
      <c r="AG65" s="72">
        <f t="shared" si="14"/>
        <v>137.20000000000002</v>
      </c>
      <c r="AH65" s="6"/>
    </row>
    <row r="66" spans="1:33" ht="15.75">
      <c r="A66" s="3" t="s">
        <v>2</v>
      </c>
      <c r="B66" s="22">
        <v>169.5</v>
      </c>
      <c r="C66" s="22">
        <v>169.3</v>
      </c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1.5</v>
      </c>
      <c r="AG66" s="72">
        <f t="shared" si="14"/>
        <v>337.3</v>
      </c>
    </row>
    <row r="67" spans="1:33" ht="15.75">
      <c r="A67" s="3" t="s">
        <v>16</v>
      </c>
      <c r="B67" s="22">
        <v>290</v>
      </c>
      <c r="C67" s="22">
        <v>290</v>
      </c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580</v>
      </c>
    </row>
    <row r="68" spans="1:33" ht="15.75">
      <c r="A68" s="3" t="s">
        <v>23</v>
      </c>
      <c r="B68" s="22">
        <f aca="true" t="shared" si="15" ref="B68:AD68">B62-B63-B66-B67-B65-B64</f>
        <v>817.6999999999998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371</v>
      </c>
      <c r="AG68" s="72">
        <f>AG62-AG63-AG66-AG67-AG65-AG64</f>
        <v>858.6999999999991</v>
      </c>
    </row>
    <row r="69" spans="1:33" ht="31.5">
      <c r="A69" s="4" t="s">
        <v>45</v>
      </c>
      <c r="B69" s="22">
        <f>1087.7+173.7+321.7</f>
        <v>1583.1000000000001</v>
      </c>
      <c r="C69" s="22">
        <v>2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1486.4</v>
      </c>
      <c r="AG69" s="89">
        <f aca="true" t="shared" si="16" ref="AG69:AG92">B69+C69-AF69</f>
        <v>98.70000000000005</v>
      </c>
    </row>
    <row r="70" spans="1:33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</row>
    <row r="71" spans="1:50" ht="31.5">
      <c r="A71" s="4" t="s">
        <v>46</v>
      </c>
      <c r="B71" s="22">
        <v>0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1101.3</v>
      </c>
      <c r="C72" s="22">
        <v>904.0999999999999</v>
      </c>
      <c r="D72" s="67"/>
      <c r="E72" s="67">
        <v>80.5</v>
      </c>
      <c r="F72" s="67">
        <v>153.4</v>
      </c>
      <c r="G72" s="67"/>
      <c r="H72" s="67">
        <v>141.9</v>
      </c>
      <c r="I72" s="67"/>
      <c r="J72" s="72"/>
      <c r="K72" s="67">
        <v>2.8</v>
      </c>
      <c r="L72" s="67">
        <v>3.1</v>
      </c>
      <c r="M72" s="72">
        <v>0.3</v>
      </c>
      <c r="N72" s="67">
        <v>34.1</v>
      </c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416.1000000000001</v>
      </c>
      <c r="AG72" s="89">
        <f t="shared" si="16"/>
        <v>1589.2999999999997</v>
      </c>
    </row>
    <row r="73" spans="1:33" ht="15" customHeight="1">
      <c r="A73" s="3" t="s">
        <v>5</v>
      </c>
      <c r="B73" s="22">
        <v>40.7</v>
      </c>
      <c r="C73" s="22">
        <v>40.7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80.5</v>
      </c>
      <c r="AG73" s="89">
        <f t="shared" si="16"/>
        <v>0.9000000000000057</v>
      </c>
    </row>
    <row r="74" spans="1:33" ht="15" customHeight="1">
      <c r="A74" s="3" t="s">
        <v>2</v>
      </c>
      <c r="B74" s="22">
        <f>48.6+233.4</f>
        <v>282</v>
      </c>
      <c r="C74" s="22">
        <v>283.1</v>
      </c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175.3</v>
      </c>
      <c r="AG74" s="89">
        <f t="shared" si="16"/>
        <v>389.8</v>
      </c>
    </row>
    <row r="75" spans="1:33" ht="15" customHeight="1">
      <c r="A75" s="3" t="s">
        <v>16</v>
      </c>
      <c r="B75" s="22">
        <v>17.1</v>
      </c>
      <c r="C75" s="22">
        <v>9.400000000000002</v>
      </c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9">
        <f t="shared" si="16"/>
        <v>26.500000000000004</v>
      </c>
    </row>
    <row r="76" spans="1:33" s="11" customFormat="1" ht="15.75">
      <c r="A76" s="12" t="s">
        <v>48</v>
      </c>
      <c r="B76" s="22">
        <v>146.7</v>
      </c>
      <c r="C76" s="22">
        <v>13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61.4</v>
      </c>
      <c r="AG76" s="89">
        <f t="shared" si="16"/>
        <v>98.29999999999998</v>
      </c>
    </row>
    <row r="77" spans="1:33" s="11" customFormat="1" ht="15.75">
      <c r="A77" s="3" t="s">
        <v>5</v>
      </c>
      <c r="B77" s="22">
        <v>133.6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51.9</v>
      </c>
      <c r="AG77" s="89">
        <f t="shared" si="16"/>
        <v>83.5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</row>
    <row r="80" spans="1:33" s="11" customFormat="1" ht="15.75">
      <c r="A80" s="3" t="s">
        <v>2</v>
      </c>
      <c r="B80" s="22">
        <v>7.9</v>
      </c>
      <c r="C80" s="22">
        <v>9.1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7.699999999999999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</row>
    <row r="82" spans="1:33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</row>
    <row r="83" spans="1:33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22">
        <v>8064.3</v>
      </c>
      <c r="C89" s="22">
        <v>5087.2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5984.2</v>
      </c>
      <c r="AG89" s="72">
        <f t="shared" si="16"/>
        <v>7167.3</v>
      </c>
      <c r="AH89" s="11"/>
      <c r="AI89" s="85"/>
    </row>
    <row r="90" spans="1:34" ht="15.75">
      <c r="A90" s="4" t="s">
        <v>51</v>
      </c>
      <c r="B90" s="22">
        <f>3519.3+2140.7</f>
        <v>5660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1886.8</v>
      </c>
      <c r="AG90" s="72">
        <f t="shared" si="16"/>
        <v>3773.2</v>
      </c>
      <c r="AH90" s="11"/>
    </row>
    <row r="91" spans="1:34" ht="15.75">
      <c r="A91" s="4" t="s">
        <v>25</v>
      </c>
      <c r="B91" s="22">
        <v>208.3</v>
      </c>
      <c r="C91" s="22">
        <v>207.9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416.20000000000005</v>
      </c>
      <c r="AH91" s="11"/>
    </row>
    <row r="92" spans="1:34" ht="15.75">
      <c r="A92" s="4" t="s">
        <v>37</v>
      </c>
      <c r="B92" s="22">
        <v>0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9702</v>
      </c>
      <c r="AG92" s="72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153046.8</v>
      </c>
      <c r="C94" s="35">
        <f t="shared" si="17"/>
        <v>48548.6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4034.0999999999995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33857.2</v>
      </c>
      <c r="M94" s="91">
        <f t="shared" si="17"/>
        <v>13450.800000000001</v>
      </c>
      <c r="N94" s="82">
        <f t="shared" si="17"/>
        <v>7202.2</v>
      </c>
      <c r="O94" s="82">
        <f t="shared" si="17"/>
        <v>0</v>
      </c>
      <c r="P94" s="82">
        <f t="shared" si="17"/>
        <v>0</v>
      </c>
      <c r="Q94" s="82">
        <f t="shared" si="17"/>
        <v>0</v>
      </c>
      <c r="R94" s="82">
        <f t="shared" si="17"/>
        <v>0</v>
      </c>
      <c r="S94" s="82">
        <f t="shared" si="17"/>
        <v>0</v>
      </c>
      <c r="T94" s="82">
        <f t="shared" si="17"/>
        <v>0</v>
      </c>
      <c r="U94" s="82">
        <f t="shared" si="17"/>
        <v>0</v>
      </c>
      <c r="V94" s="82">
        <f t="shared" si="17"/>
        <v>0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83845.70000000001</v>
      </c>
      <c r="AG94" s="83">
        <f>AG10+AG15+AG24+AG33+AG47+AG52+AG54+AG61+AG62+AG69+AG71+AG72+AG76+AG81+AG82+AG83+AG88+AG89+AG90+AG91+AG70+AG40+AG92</f>
        <v>117749.70000000001</v>
      </c>
    </row>
    <row r="95" spans="1:33" ht="15.75">
      <c r="A95" s="3" t="s">
        <v>5</v>
      </c>
      <c r="B95" s="22">
        <f aca="true" t="shared" si="18" ref="B95:AD95">B11+B17+B26+B34+B55+B63+B73+B41+B77+B48</f>
        <v>72481.80000000002</v>
      </c>
      <c r="C95" s="22">
        <f t="shared" si="18"/>
        <v>4284.899999999999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1.4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36798.8</v>
      </c>
      <c r="AG95" s="71">
        <f>B95+C95-AF95</f>
        <v>39967.90000000001</v>
      </c>
    </row>
    <row r="96" spans="1:33" ht="15.75">
      <c r="A96" s="3" t="s">
        <v>2</v>
      </c>
      <c r="B96" s="22">
        <f aca="true" t="shared" si="19" ref="B96:AD96">B12+B20+B29+B36+B57+B66+B44+B80+B74+B53</f>
        <v>14275.499999999998</v>
      </c>
      <c r="C96" s="22">
        <f t="shared" si="19"/>
        <v>10481.800000000001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4862</v>
      </c>
      <c r="AG96" s="71">
        <f>B96+C96-AF96</f>
        <v>19895.3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4972.3</v>
      </c>
      <c r="C98" s="22">
        <f t="shared" si="21"/>
        <v>2627.3000000000006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2537</v>
      </c>
      <c r="AG98" s="71">
        <f>B98+C98-AF98</f>
        <v>5062.6</v>
      </c>
    </row>
    <row r="99" spans="1:33" ht="15.75">
      <c r="A99" s="3" t="s">
        <v>16</v>
      </c>
      <c r="B99" s="22">
        <f aca="true" t="shared" si="22" ref="B99:X99">B21+B30+B49+B37+B58+B13+B75+B67</f>
        <v>6146.5</v>
      </c>
      <c r="C99" s="22">
        <f t="shared" si="22"/>
        <v>3173.7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2542.2000000000003</v>
      </c>
      <c r="AG99" s="71">
        <f>B99+C99-AF99</f>
        <v>6778</v>
      </c>
    </row>
    <row r="100" spans="1:33" ht="12.75">
      <c r="A100" s="1" t="s">
        <v>35</v>
      </c>
      <c r="B100" s="2">
        <f aca="true" t="shared" si="24" ref="B100:AD100">B94-B95-B96-B97-B98-B99</f>
        <v>55154.399999999965</v>
      </c>
      <c r="C100" s="2">
        <f t="shared" si="24"/>
        <v>27980.899999999994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1062.1999999999991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4310.999999999997</v>
      </c>
      <c r="M100" s="92">
        <f t="shared" si="24"/>
        <v>10983.2</v>
      </c>
      <c r="N100" s="84">
        <f t="shared" si="24"/>
        <v>4652</v>
      </c>
      <c r="O100" s="84">
        <f t="shared" si="24"/>
        <v>0</v>
      </c>
      <c r="P100" s="84">
        <f t="shared" si="24"/>
        <v>0</v>
      </c>
      <c r="Q100" s="84">
        <f t="shared" si="24"/>
        <v>0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37089.40000000001</v>
      </c>
      <c r="AG100" s="84">
        <f>AG94-AG95-AG96-AG97-AG98-AG99</f>
        <v>46045.9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4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customWidth="1"/>
    <col min="10" max="10" width="8.25390625" style="18" customWidth="1"/>
    <col min="11" max="11" width="9.125" style="0" customWidth="1"/>
    <col min="12" max="12" width="11.00390625" style="0" customWidth="1"/>
    <col min="13" max="13" width="10.00390625" style="18" customWidth="1"/>
    <col min="14" max="14" width="8.2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70" t="s">
        <v>12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</row>
    <row r="2" spans="1:33" ht="22.5" customHeight="1">
      <c r="A2" s="171" t="s">
        <v>53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1117.2999999999956</v>
      </c>
      <c r="AF7" s="54"/>
      <c r="AG7" s="40"/>
    </row>
    <row r="8" spans="1:55" ht="18" customHeight="1">
      <c r="A8" s="47" t="s">
        <v>30</v>
      </c>
      <c r="B8" s="33">
        <f>SUM(E8:AB8)</f>
        <v>143115.19999999998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>
        <v>11904</v>
      </c>
      <c r="P8" s="61">
        <v>10666.5</v>
      </c>
      <c r="Q8" s="61">
        <v>8762.5</v>
      </c>
      <c r="R8" s="61">
        <v>7254.7</v>
      </c>
      <c r="S8" s="63">
        <v>4552</v>
      </c>
      <c r="T8" s="63">
        <v>10516.9</v>
      </c>
      <c r="U8" s="61">
        <v>4241.1</v>
      </c>
      <c r="V8" s="61">
        <v>5279.5</v>
      </c>
      <c r="W8" s="61">
        <v>11099.8</v>
      </c>
      <c r="X8" s="62"/>
      <c r="Y8" s="62"/>
      <c r="Z8" s="62"/>
      <c r="AA8" s="62"/>
      <c r="AB8" s="61"/>
      <c r="AC8" s="64"/>
      <c r="AD8" s="64"/>
      <c r="AE8" s="65">
        <f>SUM(D8:AD8)+C8-AF9+AF16+AF25</f>
        <v>73985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263305.19999999995</v>
      </c>
      <c r="C9" s="23">
        <f t="shared" si="0"/>
        <v>13399.5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4034.2999999999993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33857.399999999994</v>
      </c>
      <c r="M9" s="90">
        <f t="shared" si="0"/>
        <v>13450.9</v>
      </c>
      <c r="N9" s="68">
        <f t="shared" si="0"/>
        <v>7202.000000000001</v>
      </c>
      <c r="O9" s="68">
        <f t="shared" si="0"/>
        <v>30524.5</v>
      </c>
      <c r="P9" s="68">
        <f t="shared" si="0"/>
        <v>10666.5</v>
      </c>
      <c r="Q9" s="68">
        <f t="shared" si="0"/>
        <v>2269.2</v>
      </c>
      <c r="R9" s="68">
        <f t="shared" si="0"/>
        <v>5957.1</v>
      </c>
      <c r="S9" s="68">
        <f t="shared" si="0"/>
        <v>4598.900000000001</v>
      </c>
      <c r="T9" s="68">
        <f t="shared" si="0"/>
        <v>32024.6</v>
      </c>
      <c r="U9" s="68">
        <f t="shared" si="0"/>
        <v>16639.699999999986</v>
      </c>
      <c r="V9" s="68">
        <f t="shared" si="0"/>
        <v>5279.5</v>
      </c>
      <c r="W9" s="68">
        <f t="shared" si="0"/>
        <v>11099.8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202905.8</v>
      </c>
      <c r="AG9" s="90">
        <f>AG10+AG15+AG24+AG33+AG47+AG52+AG54+AG61+AG62+AG71+AG72+AG76+AG88+AG81+AG83+AG82+AG69+AG89+AG91+AG90+AG70+AG40+AG92</f>
        <v>73798.90000000001</v>
      </c>
      <c r="AH9" s="41"/>
      <c r="AI9" s="41"/>
    </row>
    <row r="10" spans="1:35" ht="15.75">
      <c r="A10" s="4" t="s">
        <v>4</v>
      </c>
      <c r="B10" s="22">
        <v>20853.5</v>
      </c>
      <c r="C10" s="22">
        <v>76.6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3844.8</v>
      </c>
      <c r="M10" s="72">
        <v>1728.4</v>
      </c>
      <c r="N10" s="67">
        <v>5.1</v>
      </c>
      <c r="O10" s="71">
        <v>21.1</v>
      </c>
      <c r="P10" s="67">
        <v>0.3</v>
      </c>
      <c r="Q10" s="67">
        <v>34.4</v>
      </c>
      <c r="R10" s="67">
        <v>45</v>
      </c>
      <c r="S10" s="72">
        <v>4.2</v>
      </c>
      <c r="T10" s="72">
        <v>963</v>
      </c>
      <c r="U10" s="72">
        <v>7087.2</v>
      </c>
      <c r="V10" s="72">
        <v>2475</v>
      </c>
      <c r="W10" s="72">
        <v>12.1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18465.6</v>
      </c>
      <c r="AG10" s="72">
        <f>B10+C10-AF10</f>
        <v>2464.5</v>
      </c>
      <c r="AI10" s="6"/>
    </row>
    <row r="11" spans="1:35" ht="15.75">
      <c r="A11" s="3" t="s">
        <v>5</v>
      </c>
      <c r="B11" s="22">
        <f>18725.4-37.5</f>
        <v>18687.9</v>
      </c>
      <c r="C11" s="22">
        <v>59.4</v>
      </c>
      <c r="D11" s="67"/>
      <c r="E11" s="67">
        <v>39.8</v>
      </c>
      <c r="F11" s="67">
        <v>0.3</v>
      </c>
      <c r="G11" s="67">
        <v>122</v>
      </c>
      <c r="H11" s="67">
        <f>99.9+1.4</f>
        <v>101.30000000000001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>
        <v>10</v>
      </c>
      <c r="P11" s="67"/>
      <c r="Q11" s="67">
        <v>5.7</v>
      </c>
      <c r="R11" s="67"/>
      <c r="S11" s="72"/>
      <c r="T11" s="72">
        <v>877.3</v>
      </c>
      <c r="U11" s="72">
        <v>7018.3</v>
      </c>
      <c r="V11" s="72">
        <v>1997.5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17409.1</v>
      </c>
      <c r="AG11" s="72">
        <f>B11+C11-AF11</f>
        <v>1338.2000000000044</v>
      </c>
      <c r="AI11" s="6"/>
    </row>
    <row r="12" spans="1:35" ht="15.75">
      <c r="A12" s="3" t="s">
        <v>2</v>
      </c>
      <c r="B12" s="29">
        <v>708.6</v>
      </c>
      <c r="C12" s="22"/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>
        <v>7.1</v>
      </c>
      <c r="P12" s="67"/>
      <c r="Q12" s="67"/>
      <c r="R12" s="67"/>
      <c r="S12" s="72"/>
      <c r="T12" s="72"/>
      <c r="U12" s="72"/>
      <c r="V12" s="72">
        <v>340.1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408.8</v>
      </c>
      <c r="AG12" s="72">
        <f>B12+C12-AF12</f>
        <v>299.8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1456.9999999999986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55.399999999999984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16.800000000000182</v>
      </c>
      <c r="M14" s="72">
        <f t="shared" si="2"/>
        <v>70.80000000000018</v>
      </c>
      <c r="N14" s="67">
        <f t="shared" si="2"/>
        <v>5.1</v>
      </c>
      <c r="O14" s="67">
        <f t="shared" si="2"/>
        <v>4.000000000000002</v>
      </c>
      <c r="P14" s="67">
        <f t="shared" si="2"/>
        <v>0.3</v>
      </c>
      <c r="Q14" s="67">
        <f t="shared" si="2"/>
        <v>28.7</v>
      </c>
      <c r="R14" s="67">
        <f t="shared" si="2"/>
        <v>45</v>
      </c>
      <c r="S14" s="67">
        <f t="shared" si="2"/>
        <v>4.2</v>
      </c>
      <c r="T14" s="67">
        <f t="shared" si="2"/>
        <v>85.70000000000005</v>
      </c>
      <c r="U14" s="67">
        <f t="shared" si="2"/>
        <v>68.89999999999964</v>
      </c>
      <c r="V14" s="67">
        <f t="shared" si="2"/>
        <v>137.39999999999998</v>
      </c>
      <c r="W14" s="67">
        <f t="shared" si="2"/>
        <v>12.1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647.7000000000002</v>
      </c>
      <c r="AG14" s="72">
        <f>AG10-AG11-AG12-AG13</f>
        <v>826.4999999999957</v>
      </c>
      <c r="AI14" s="6"/>
    </row>
    <row r="15" spans="1:35" ht="15" customHeight="1">
      <c r="A15" s="4" t="s">
        <v>6</v>
      </c>
      <c r="B15" s="22">
        <v>110524.8</v>
      </c>
      <c r="C15" s="22">
        <v>288.2</v>
      </c>
      <c r="D15" s="73">
        <f>2403.3+273.5</f>
        <v>2676.8</v>
      </c>
      <c r="E15" s="73"/>
      <c r="F15" s="67">
        <v>220.6</v>
      </c>
      <c r="G15" s="67">
        <v>39.4</v>
      </c>
      <c r="H15" s="67">
        <f>2669.9+0.1</f>
        <v>2670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2528.2</v>
      </c>
      <c r="O15" s="71"/>
      <c r="P15" s="67">
        <v>222.7</v>
      </c>
      <c r="Q15" s="71">
        <v>0.8</v>
      </c>
      <c r="R15" s="67">
        <v>3854.8</v>
      </c>
      <c r="S15" s="72">
        <v>741.1</v>
      </c>
      <c r="T15" s="72">
        <f>3541.7</f>
        <v>3541.7</v>
      </c>
      <c r="U15" s="72">
        <f>24275+12398.6</f>
        <v>36673.6</v>
      </c>
      <c r="V15" s="72">
        <v>1128.8</v>
      </c>
      <c r="W15" s="72">
        <v>-92.4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80989.8</v>
      </c>
      <c r="AG15" s="72">
        <f aca="true" t="shared" si="3" ref="AG15:AG31">B15+C15-AF15</f>
        <v>29823.199999999997</v>
      </c>
      <c r="AI15" s="6"/>
    </row>
    <row r="16" spans="1:35" s="53" customFormat="1" ht="15" customHeight="1">
      <c r="A16" s="51" t="s">
        <v>38</v>
      </c>
      <c r="B16" s="52">
        <v>23019.6</v>
      </c>
      <c r="C16" s="52">
        <v>288.1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>
        <v>12398.6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23182.300000000003</v>
      </c>
      <c r="AG16" s="88">
        <f t="shared" si="3"/>
        <v>125.39999999999418</v>
      </c>
      <c r="AH16" s="57"/>
      <c r="AI16" s="6"/>
    </row>
    <row r="17" spans="1:35" ht="15.75">
      <c r="A17" s="3" t="s">
        <v>5</v>
      </c>
      <c r="B17" s="22">
        <v>61693.8</v>
      </c>
      <c r="C17" s="22">
        <v>288.2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>
        <f>19789.8+12398.6</f>
        <v>32188.4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59618.600000000006</v>
      </c>
      <c r="AG17" s="72">
        <f t="shared" si="3"/>
        <v>2363.399999999994</v>
      </c>
      <c r="AH17" s="6"/>
      <c r="AI17" s="6"/>
    </row>
    <row r="18" spans="1:35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  <c r="AI18" s="6"/>
    </row>
    <row r="19" spans="1:35" ht="15.75">
      <c r="A19" s="3" t="s">
        <v>1</v>
      </c>
      <c r="B19" s="22">
        <v>7820.9</v>
      </c>
      <c r="C19" s="22">
        <v>0.1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>
        <v>46.4</v>
      </c>
      <c r="Q19" s="71"/>
      <c r="R19" s="67">
        <v>224.9</v>
      </c>
      <c r="S19" s="72">
        <v>741.1</v>
      </c>
      <c r="T19" s="72">
        <v>480.5</v>
      </c>
      <c r="U19" s="72">
        <v>382.6</v>
      </c>
      <c r="V19" s="72"/>
      <c r="W19" s="72">
        <v>-93.5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4279.6</v>
      </c>
      <c r="AG19" s="72">
        <f t="shared" si="3"/>
        <v>3541.3999999999996</v>
      </c>
      <c r="AI19" s="6"/>
    </row>
    <row r="20" spans="1:35" ht="15.75">
      <c r="A20" s="3" t="s">
        <v>2</v>
      </c>
      <c r="B20" s="22">
        <v>35399.2</v>
      </c>
      <c r="C20" s="22">
        <v>0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>
        <v>42</v>
      </c>
      <c r="Q20" s="71">
        <v>0.7</v>
      </c>
      <c r="R20" s="67">
        <v>3077.2</v>
      </c>
      <c r="S20" s="72"/>
      <c r="T20" s="72">
        <v>2292.1</v>
      </c>
      <c r="U20" s="72">
        <v>4098.5</v>
      </c>
      <c r="V20" s="72">
        <v>884.8</v>
      </c>
      <c r="W20" s="72">
        <v>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14960.599999999999</v>
      </c>
      <c r="AG20" s="72">
        <f t="shared" si="3"/>
        <v>20438.6</v>
      </c>
      <c r="AI20" s="6"/>
    </row>
    <row r="21" spans="1:35" ht="15.75">
      <c r="A21" s="3" t="s">
        <v>16</v>
      </c>
      <c r="B21" s="22">
        <v>1226.9</v>
      </c>
      <c r="C21" s="22">
        <v>0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>
        <v>134.3</v>
      </c>
      <c r="Q21" s="71"/>
      <c r="R21" s="67"/>
      <c r="S21" s="72"/>
      <c r="T21" s="72">
        <v>503.1</v>
      </c>
      <c r="U21" s="67"/>
      <c r="V21" s="67">
        <v>242.3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1069.7</v>
      </c>
      <c r="AG21" s="72">
        <f t="shared" si="3"/>
        <v>157.20000000000005</v>
      </c>
      <c r="AI21" s="6"/>
    </row>
    <row r="22" spans="1:35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I22" s="6"/>
    </row>
    <row r="23" spans="1:35" ht="15.75">
      <c r="A23" s="3" t="s">
        <v>23</v>
      </c>
      <c r="B23" s="22">
        <f>B15-B17-B18-B19-B20-B21-B22</f>
        <v>4367.699999999999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3.7000000000000455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11.099999999999909</v>
      </c>
      <c r="O23" s="67">
        <f t="shared" si="4"/>
        <v>0</v>
      </c>
      <c r="P23" s="67">
        <f t="shared" si="4"/>
        <v>-2.842170943040401E-14</v>
      </c>
      <c r="Q23" s="67">
        <f t="shared" si="4"/>
        <v>0.10000000000000009</v>
      </c>
      <c r="R23" s="67">
        <f t="shared" si="4"/>
        <v>552.7000000000003</v>
      </c>
      <c r="S23" s="67">
        <f t="shared" si="4"/>
        <v>0</v>
      </c>
      <c r="T23" s="67">
        <f t="shared" si="4"/>
        <v>265.9999999999999</v>
      </c>
      <c r="U23" s="67">
        <f t="shared" si="4"/>
        <v>4.099999999996726</v>
      </c>
      <c r="V23" s="67">
        <f t="shared" si="4"/>
        <v>1.6999999999999886</v>
      </c>
      <c r="W23" s="67">
        <f t="shared" si="4"/>
        <v>-5.773159728050814E-15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1044.9999999999939</v>
      </c>
      <c r="AG23" s="72">
        <f t="shared" si="3"/>
        <v>3537.000000000011</v>
      </c>
      <c r="AI23" s="6"/>
    </row>
    <row r="24" spans="1:35" ht="15" customHeight="1">
      <c r="A24" s="4" t="s">
        <v>7</v>
      </c>
      <c r="B24" s="22">
        <v>39159.3</v>
      </c>
      <c r="C24" s="22">
        <v>0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</f>
        <v>4460.7</v>
      </c>
      <c r="O24" s="71">
        <v>29.9</v>
      </c>
      <c r="P24" s="67"/>
      <c r="Q24" s="71"/>
      <c r="R24" s="71"/>
      <c r="S24" s="72">
        <f>505.9+258.6</f>
        <v>764.5</v>
      </c>
      <c r="T24" s="72">
        <f>9247.5+5793.7</f>
        <v>15041.2</v>
      </c>
      <c r="U24" s="72">
        <v>177.6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31310.4</v>
      </c>
      <c r="AG24" s="72">
        <f t="shared" si="3"/>
        <v>7848.9000000000015</v>
      </c>
      <c r="AI24" s="6"/>
    </row>
    <row r="25" spans="1:35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>
        <v>258.6</v>
      </c>
      <c r="T25" s="76">
        <v>5793.8</v>
      </c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16947.4</v>
      </c>
      <c r="AG25" s="88">
        <f t="shared" si="3"/>
        <v>90.79999999999927</v>
      </c>
      <c r="AH25" s="57"/>
      <c r="AI25" s="6"/>
    </row>
    <row r="26" spans="1:35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  <c r="AI26" s="6"/>
    </row>
    <row r="27" spans="1:35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I27" s="6"/>
    </row>
    <row r="28" spans="1:35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I28" s="6"/>
    </row>
    <row r="29" spans="1:35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I29" s="6"/>
    </row>
    <row r="30" spans="1:35" ht="15.75">
      <c r="A30" s="3" t="s">
        <v>16</v>
      </c>
      <c r="B30" s="22">
        <v>90.9</v>
      </c>
      <c r="C30" s="22">
        <v>0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90.9</v>
      </c>
      <c r="AI30" s="6"/>
    </row>
    <row r="31" spans="1:35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I31" s="6"/>
    </row>
    <row r="32" spans="1:35" ht="15.75">
      <c r="A32" s="3" t="s">
        <v>23</v>
      </c>
      <c r="B32" s="22">
        <f>B24-B30</f>
        <v>39068.4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4460.7</v>
      </c>
      <c r="O32" s="67">
        <f t="shared" si="5"/>
        <v>29.9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764.5</v>
      </c>
      <c r="T32" s="67">
        <f t="shared" si="5"/>
        <v>15041.2</v>
      </c>
      <c r="U32" s="67">
        <f t="shared" si="5"/>
        <v>177.6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31310.4</v>
      </c>
      <c r="AG32" s="72">
        <f>AG24-AG30</f>
        <v>7758.000000000002</v>
      </c>
      <c r="AI32" s="6"/>
    </row>
    <row r="33" spans="1:35" ht="15" customHeight="1">
      <c r="A33" s="4" t="s">
        <v>8</v>
      </c>
      <c r="B33" s="22">
        <v>436.7</v>
      </c>
      <c r="C33" s="22">
        <v>85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>
        <v>44</v>
      </c>
      <c r="Q33" s="71"/>
      <c r="R33" s="67"/>
      <c r="S33" s="72"/>
      <c r="T33" s="72">
        <v>180.6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328.9</v>
      </c>
      <c r="AG33" s="72">
        <f aca="true" t="shared" si="6" ref="AG33:AG38">B33+C33-AF33</f>
        <v>192.80000000000007</v>
      </c>
      <c r="AI33" s="6"/>
    </row>
    <row r="34" spans="1:35" ht="15.75">
      <c r="A34" s="3" t="s">
        <v>5</v>
      </c>
      <c r="B34" s="22">
        <v>296.4</v>
      </c>
      <c r="C34" s="22">
        <v>1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>
        <v>180.6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273.5</v>
      </c>
      <c r="AG34" s="72">
        <f t="shared" si="6"/>
        <v>23.899999999999977</v>
      </c>
      <c r="AI34" s="6"/>
    </row>
    <row r="35" spans="1:35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I35" s="6"/>
    </row>
    <row r="36" spans="1:35" ht="15.75">
      <c r="A36" s="3" t="s">
        <v>2</v>
      </c>
      <c r="B36" s="36">
        <v>105.7</v>
      </c>
      <c r="C36" s="22">
        <v>65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>
        <v>44</v>
      </c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53.6</v>
      </c>
      <c r="AG36" s="72">
        <f t="shared" si="6"/>
        <v>117.1</v>
      </c>
      <c r="AI36" s="6"/>
    </row>
    <row r="37" spans="1:35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I37" s="6"/>
    </row>
    <row r="38" spans="1:35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I38" s="6"/>
    </row>
    <row r="39" spans="1:35" ht="15.75">
      <c r="A39" s="3" t="s">
        <v>23</v>
      </c>
      <c r="B39" s="22">
        <f aca="true" t="shared" si="7" ref="B39:AD39">B33-B34-B36-B38-B37-B35</f>
        <v>34.60000000000001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51.8000000000001</v>
      </c>
      <c r="AI39" s="6"/>
    </row>
    <row r="40" spans="1:35" ht="15" customHeight="1">
      <c r="A40" s="4" t="s">
        <v>29</v>
      </c>
      <c r="B40" s="22">
        <v>1526.7</v>
      </c>
      <c r="C40" s="22">
        <v>0.1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>
        <v>721.1</v>
      </c>
      <c r="U40" s="72">
        <v>127.1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1405</v>
      </c>
      <c r="AG40" s="72">
        <f aca="true" t="shared" si="8" ref="AG40:AG45">B40+C40-AF40</f>
        <v>121.79999999999995</v>
      </c>
      <c r="AI40" s="6"/>
    </row>
    <row r="41" spans="1:35" ht="15.75">
      <c r="A41" s="3" t="s">
        <v>5</v>
      </c>
      <c r="B41" s="22">
        <v>1293</v>
      </c>
      <c r="C41" s="22">
        <v>0.1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>
        <v>691.2</v>
      </c>
      <c r="U41" s="72">
        <v>14.1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1215.4</v>
      </c>
      <c r="AG41" s="72">
        <f t="shared" si="8"/>
        <v>77.69999999999982</v>
      </c>
      <c r="AH41" s="6"/>
      <c r="AI41" s="6"/>
    </row>
    <row r="42" spans="1:35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  <c r="AI42" s="6"/>
    </row>
    <row r="43" spans="1:35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  <c r="AI43" s="6"/>
    </row>
    <row r="44" spans="1:35" ht="15.75">
      <c r="A44" s="3" t="s">
        <v>2</v>
      </c>
      <c r="B44" s="22">
        <v>190.8</v>
      </c>
      <c r="C44" s="22"/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>
        <v>3.3</v>
      </c>
      <c r="U44" s="72">
        <v>112.6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153.79999999999998</v>
      </c>
      <c r="AG44" s="72">
        <f t="shared" si="8"/>
        <v>37.00000000000003</v>
      </c>
      <c r="AI44" s="6"/>
    </row>
    <row r="45" spans="1:35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I45" s="6"/>
    </row>
    <row r="46" spans="1:35" ht="15.75">
      <c r="A46" s="3" t="s">
        <v>23</v>
      </c>
      <c r="B46" s="22">
        <f aca="true" t="shared" si="9" ref="B46:AD46">B40-B41-B42-B43-B44-B45</f>
        <v>32.10000000000002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26.599999999999977</v>
      </c>
      <c r="U46" s="67">
        <f t="shared" si="9"/>
        <v>0.4000000000000057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27.50000000000001</v>
      </c>
      <c r="AG46" s="72">
        <f>AG40-AG41-AG42-AG43-AG44-AG45</f>
        <v>4.600000000000108</v>
      </c>
      <c r="AI46" s="6"/>
    </row>
    <row r="47" spans="1:35" ht="17.25" customHeight="1">
      <c r="A47" s="4" t="s">
        <v>43</v>
      </c>
      <c r="B47" s="29">
        <v>7482.2</v>
      </c>
      <c r="C47" s="22">
        <v>0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>
        <v>131.3</v>
      </c>
      <c r="Q47" s="79"/>
      <c r="R47" s="79">
        <v>1879.3</v>
      </c>
      <c r="S47" s="80">
        <f>351.4</f>
        <v>351.4</v>
      </c>
      <c r="T47" s="80">
        <v>97.1</v>
      </c>
      <c r="U47" s="79">
        <v>16.6</v>
      </c>
      <c r="V47" s="79">
        <v>48.3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4916.500000000001</v>
      </c>
      <c r="AG47" s="72">
        <f>B47+C47-AF47</f>
        <v>2565.699999999999</v>
      </c>
      <c r="AI47" s="6"/>
    </row>
    <row r="48" spans="1:35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  <c r="AI48" s="6"/>
    </row>
    <row r="49" spans="1:35" ht="15.75">
      <c r="A49" s="3" t="s">
        <v>16</v>
      </c>
      <c r="B49" s="22">
        <v>6301.2</v>
      </c>
      <c r="C49" s="22">
        <v>0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>
        <v>131.3</v>
      </c>
      <c r="Q49" s="67"/>
      <c r="R49" s="67">
        <v>1879.3</v>
      </c>
      <c r="S49" s="72">
        <f>114.9+217.4</f>
        <v>332.3</v>
      </c>
      <c r="T49" s="72">
        <v>66.2</v>
      </c>
      <c r="U49" s="67">
        <v>14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4775.3</v>
      </c>
      <c r="AG49" s="72">
        <f>B49+C49-AF49</f>
        <v>1525.8999999999996</v>
      </c>
      <c r="AI49" s="6"/>
    </row>
    <row r="50" spans="1:35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I50" s="6"/>
    </row>
    <row r="51" spans="1:35" ht="15.75">
      <c r="A51" s="48" t="s">
        <v>23</v>
      </c>
      <c r="B51" s="22">
        <f aca="true" t="shared" si="10" ref="B51:AD51">B47-B48-B49</f>
        <v>1181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19.099999999999966</v>
      </c>
      <c r="T51" s="67">
        <f t="shared" si="10"/>
        <v>30.89999999999999</v>
      </c>
      <c r="U51" s="67">
        <f t="shared" si="10"/>
        <v>2.6000000000000014</v>
      </c>
      <c r="V51" s="67">
        <f t="shared" si="10"/>
        <v>48.3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141.19999999999993</v>
      </c>
      <c r="AG51" s="72">
        <f>AG47-AG49-AG48</f>
        <v>1039.7999999999993</v>
      </c>
      <c r="AI51" s="6"/>
    </row>
    <row r="52" spans="1:35" ht="15" customHeight="1">
      <c r="A52" s="4" t="s">
        <v>0</v>
      </c>
      <c r="B52" s="22">
        <f>6888.5-3200</f>
        <v>3688.5</v>
      </c>
      <c r="C52" s="22">
        <v>2082.9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>
        <f>1198.1</f>
        <v>1198.1</v>
      </c>
      <c r="T52" s="72">
        <v>490.3</v>
      </c>
      <c r="U52" s="72">
        <v>154</v>
      </c>
      <c r="V52" s="72">
        <v>72.1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2955.4</v>
      </c>
      <c r="AG52" s="72">
        <f aca="true" t="shared" si="11" ref="AG52:AG59">B52+C52-AF52</f>
        <v>2815.9999999999995</v>
      </c>
      <c r="AI52" s="6"/>
    </row>
    <row r="53" spans="1:35" ht="15" customHeight="1">
      <c r="A53" s="3" t="s">
        <v>2</v>
      </c>
      <c r="B53" s="22">
        <f>2630.3-1800</f>
        <v>830.3000000000002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>
        <v>598.7</v>
      </c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601.3000000000001</v>
      </c>
      <c r="AG53" s="72">
        <f t="shared" si="11"/>
        <v>1418</v>
      </c>
      <c r="AI53" s="6"/>
    </row>
    <row r="54" spans="1:35" ht="15" customHeight="1">
      <c r="A54" s="4" t="s">
        <v>9</v>
      </c>
      <c r="B54" s="36">
        <v>2626</v>
      </c>
      <c r="C54" s="22">
        <v>20.3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173.8</v>
      </c>
      <c r="O54" s="71"/>
      <c r="P54" s="67"/>
      <c r="Q54" s="71">
        <v>53.1</v>
      </c>
      <c r="R54" s="67">
        <v>2.1</v>
      </c>
      <c r="S54" s="72">
        <v>1.1</v>
      </c>
      <c r="T54" s="72">
        <v>14</v>
      </c>
      <c r="U54" s="72">
        <v>954.2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1914</v>
      </c>
      <c r="AG54" s="72">
        <f t="shared" si="11"/>
        <v>732.3000000000002</v>
      </c>
      <c r="AH54" s="6"/>
      <c r="AI54" s="6"/>
    </row>
    <row r="55" spans="1:35" ht="15.75">
      <c r="A55" s="3" t="s">
        <v>5</v>
      </c>
      <c r="B55" s="22">
        <v>1176.1</v>
      </c>
      <c r="C55" s="22">
        <v>20.3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>
        <v>14</v>
      </c>
      <c r="U55" s="72">
        <v>629.4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1011</v>
      </c>
      <c r="AG55" s="72">
        <f t="shared" si="11"/>
        <v>185.39999999999986</v>
      </c>
      <c r="AH55" s="6"/>
      <c r="AI55" s="6"/>
    </row>
    <row r="56" spans="1:35" ht="15" customHeight="1">
      <c r="A56" s="3" t="s">
        <v>1</v>
      </c>
      <c r="B56" s="22"/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  <c r="AI56" s="6"/>
    </row>
    <row r="57" spans="1:35" ht="15.75">
      <c r="A57" s="3" t="s">
        <v>2</v>
      </c>
      <c r="B57" s="29">
        <v>474.5</v>
      </c>
      <c r="C57" s="22">
        <v>0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>
        <v>1.1</v>
      </c>
      <c r="T57" s="72"/>
      <c r="U57" s="72">
        <v>273.8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274.90000000000003</v>
      </c>
      <c r="AG57" s="72">
        <f t="shared" si="11"/>
        <v>199.59999999999997</v>
      </c>
      <c r="AI57" s="6"/>
    </row>
    <row r="58" spans="1:35" ht="15.75">
      <c r="A58" s="3" t="s">
        <v>16</v>
      </c>
      <c r="B58" s="29">
        <v>28.9</v>
      </c>
      <c r="C58" s="22">
        <v>0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  <c r="AI58" s="6"/>
    </row>
    <row r="59" spans="1:35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I59" s="6"/>
    </row>
    <row r="60" spans="1:35" ht="15.75">
      <c r="A60" s="3" t="s">
        <v>23</v>
      </c>
      <c r="B60" s="22">
        <f aca="true" t="shared" si="12" ref="B60:AD60">B54-B55-B57-B59-B56-B58</f>
        <v>946.5000000000001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173.8</v>
      </c>
      <c r="O60" s="67">
        <f t="shared" si="12"/>
        <v>0</v>
      </c>
      <c r="P60" s="67">
        <f t="shared" si="12"/>
        <v>0</v>
      </c>
      <c r="Q60" s="67">
        <f t="shared" si="12"/>
        <v>53.1</v>
      </c>
      <c r="R60" s="67">
        <f t="shared" si="12"/>
        <v>2.1</v>
      </c>
      <c r="S60" s="67">
        <f t="shared" si="12"/>
        <v>0</v>
      </c>
      <c r="T60" s="67">
        <f t="shared" si="12"/>
        <v>0</v>
      </c>
      <c r="U60" s="67">
        <f t="shared" si="12"/>
        <v>51.00000000000006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628.0999999999999</v>
      </c>
      <c r="AG60" s="72">
        <f>AG54-AG55-AG57-AG59-AG56-AG58</f>
        <v>318.4000000000004</v>
      </c>
      <c r="AI60" s="6"/>
    </row>
    <row r="61" spans="1:35" ht="15" customHeight="1">
      <c r="A61" s="4" t="s">
        <v>10</v>
      </c>
      <c r="B61" s="22">
        <v>80</v>
      </c>
      <c r="C61" s="22"/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>
        <v>11.6</v>
      </c>
      <c r="P61" s="67"/>
      <c r="Q61" s="71"/>
      <c r="R61" s="67"/>
      <c r="S61" s="72">
        <v>18.4</v>
      </c>
      <c r="T61" s="72"/>
      <c r="U61" s="72">
        <v>18.7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65.6</v>
      </c>
      <c r="AG61" s="72">
        <f aca="true" t="shared" si="14" ref="AG61:AG67">B61+C61-AF61</f>
        <v>14.400000000000006</v>
      </c>
      <c r="AI61" s="6"/>
    </row>
    <row r="62" spans="1:35" ht="15" customHeight="1">
      <c r="A62" s="4" t="s">
        <v>11</v>
      </c>
      <c r="B62" s="22">
        <v>5195.5</v>
      </c>
      <c r="C62" s="22">
        <v>77.2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>
        <v>56.2</v>
      </c>
      <c r="P62" s="67"/>
      <c r="Q62" s="71"/>
      <c r="R62" s="67">
        <v>95</v>
      </c>
      <c r="S62" s="72"/>
      <c r="T62" s="72">
        <v>1327.2</v>
      </c>
      <c r="U62" s="72">
        <v>403.4</v>
      </c>
      <c r="V62" s="72">
        <v>2.3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3152.9</v>
      </c>
      <c r="AG62" s="72">
        <f t="shared" si="14"/>
        <v>2119.7999999999997</v>
      </c>
      <c r="AI62" s="6"/>
    </row>
    <row r="63" spans="1:35" ht="15.75">
      <c r="A63" s="3" t="s">
        <v>5</v>
      </c>
      <c r="B63" s="22">
        <v>2456.9</v>
      </c>
      <c r="C63" s="22">
        <v>0.1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>
        <v>984.4</v>
      </c>
      <c r="U63" s="72">
        <v>270.7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2120.2999999999997</v>
      </c>
      <c r="AG63" s="72">
        <f t="shared" si="14"/>
        <v>336.7000000000003</v>
      </c>
      <c r="AH63" s="50"/>
      <c r="AI63" s="6"/>
    </row>
    <row r="64" spans="1:35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  <c r="AI64" s="6"/>
    </row>
    <row r="65" spans="1:35" ht="15.75">
      <c r="A65" s="3" t="s">
        <v>1</v>
      </c>
      <c r="B65" s="22">
        <v>359.2</v>
      </c>
      <c r="C65" s="22">
        <v>42.8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>
        <v>24.7</v>
      </c>
      <c r="P65" s="67"/>
      <c r="Q65" s="71"/>
      <c r="R65" s="67">
        <v>6.6</v>
      </c>
      <c r="S65" s="72"/>
      <c r="T65" s="72"/>
      <c r="U65" s="72">
        <v>7.8</v>
      </c>
      <c r="V65" s="72">
        <v>2.3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72.5</v>
      </c>
      <c r="AG65" s="72">
        <f t="shared" si="14"/>
        <v>329.5</v>
      </c>
      <c r="AH65" s="6"/>
      <c r="AI65" s="6"/>
    </row>
    <row r="66" spans="1:35" ht="15.75">
      <c r="A66" s="3" t="s">
        <v>2</v>
      </c>
      <c r="B66" s="22">
        <v>320.7</v>
      </c>
      <c r="C66" s="22"/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>
        <v>21.4</v>
      </c>
      <c r="P66" s="67"/>
      <c r="Q66" s="67"/>
      <c r="R66" s="67">
        <v>80.5</v>
      </c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103.4</v>
      </c>
      <c r="AG66" s="72">
        <f t="shared" si="14"/>
        <v>217.29999999999998</v>
      </c>
      <c r="AI66" s="6"/>
    </row>
    <row r="67" spans="1:35" ht="15.75">
      <c r="A67" s="3" t="s">
        <v>16</v>
      </c>
      <c r="B67" s="22">
        <v>580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>
        <v>227</v>
      </c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227</v>
      </c>
      <c r="AG67" s="72">
        <f t="shared" si="14"/>
        <v>353</v>
      </c>
      <c r="AI67" s="6"/>
    </row>
    <row r="68" spans="1:35" ht="15.75">
      <c r="A68" s="3" t="s">
        <v>23</v>
      </c>
      <c r="B68" s="22">
        <f aca="true" t="shared" si="15" ref="B68:AD68">B62-B63-B66-B67-B65-B64</f>
        <v>1478.7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10.100000000000005</v>
      </c>
      <c r="P68" s="67">
        <f t="shared" si="15"/>
        <v>0</v>
      </c>
      <c r="Q68" s="67">
        <f t="shared" si="15"/>
        <v>0</v>
      </c>
      <c r="R68" s="67">
        <f t="shared" si="15"/>
        <v>7.9</v>
      </c>
      <c r="S68" s="67">
        <f t="shared" si="15"/>
        <v>0</v>
      </c>
      <c r="T68" s="67">
        <f t="shared" si="15"/>
        <v>115.80000000000007</v>
      </c>
      <c r="U68" s="67">
        <f t="shared" si="15"/>
        <v>124.89999999999999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629.7</v>
      </c>
      <c r="AG68" s="72">
        <f>AG62-AG63-AG66-AG67-AG65-AG64</f>
        <v>883.2999999999995</v>
      </c>
      <c r="AI68" s="6"/>
    </row>
    <row r="69" spans="1:35" ht="31.5">
      <c r="A69" s="4" t="s">
        <v>45</v>
      </c>
      <c r="B69" s="22">
        <v>2404.4</v>
      </c>
      <c r="C69" s="22">
        <v>2.1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>
        <v>901.8</v>
      </c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2388.2</v>
      </c>
      <c r="AG69" s="89">
        <f aca="true" t="shared" si="16" ref="AG69:AG92">B69+C69-AF69</f>
        <v>18.300000000000182</v>
      </c>
      <c r="AI69" s="6"/>
    </row>
    <row r="70" spans="1:35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  <c r="AI70" s="6"/>
    </row>
    <row r="71" spans="1:50" ht="31.5">
      <c r="A71" s="4" t="s">
        <v>46</v>
      </c>
      <c r="B71" s="22">
        <v>1399.4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1399.4</v>
      </c>
      <c r="AH71" s="14"/>
      <c r="AI71" s="6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36">
        <f>2685.4-57.4</f>
        <v>2628</v>
      </c>
      <c r="C72" s="22">
        <v>95.7</v>
      </c>
      <c r="D72" s="67"/>
      <c r="E72" s="67">
        <v>80.5</v>
      </c>
      <c r="F72" s="67">
        <v>153.4</v>
      </c>
      <c r="G72" s="67"/>
      <c r="H72" s="67">
        <f>141.9+0.1</f>
        <v>142</v>
      </c>
      <c r="I72" s="67"/>
      <c r="J72" s="72"/>
      <c r="K72" s="67">
        <v>2.8</v>
      </c>
      <c r="L72" s="67">
        <v>3.2</v>
      </c>
      <c r="M72" s="72">
        <v>0.3</v>
      </c>
      <c r="N72" s="67">
        <v>34.1</v>
      </c>
      <c r="O72" s="67"/>
      <c r="P72" s="67"/>
      <c r="Q72" s="71">
        <v>10.4</v>
      </c>
      <c r="R72" s="67">
        <v>80.9</v>
      </c>
      <c r="S72" s="72">
        <f>1520.1-901.8</f>
        <v>618.3</v>
      </c>
      <c r="T72" s="72">
        <v>51.7</v>
      </c>
      <c r="U72" s="72">
        <f>223.5-88.9</f>
        <v>134.6</v>
      </c>
      <c r="V72" s="72">
        <v>16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1328.2</v>
      </c>
      <c r="AG72" s="89">
        <f t="shared" si="16"/>
        <v>1395.4999999999998</v>
      </c>
      <c r="AI72" s="6"/>
    </row>
    <row r="73" spans="1:35" ht="15" customHeight="1">
      <c r="A73" s="3" t="s">
        <v>5</v>
      </c>
      <c r="B73" s="22">
        <v>161</v>
      </c>
      <c r="C73" s="22">
        <v>0.1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>
        <v>80.5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161</v>
      </c>
      <c r="AG73" s="89">
        <f t="shared" si="16"/>
        <v>0.09999999999999432</v>
      </c>
      <c r="AI73" s="6"/>
    </row>
    <row r="74" spans="1:35" ht="15" customHeight="1">
      <c r="A74" s="3" t="s">
        <v>2</v>
      </c>
      <c r="B74" s="22">
        <f>113.9+333.4</f>
        <v>447.29999999999995</v>
      </c>
      <c r="C74" s="22"/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>
        <v>80.9</v>
      </c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256.20000000000005</v>
      </c>
      <c r="AG74" s="89">
        <f t="shared" si="16"/>
        <v>191.0999999999999</v>
      </c>
      <c r="AI74" s="6"/>
    </row>
    <row r="75" spans="1:35" ht="15" customHeight="1">
      <c r="A75" s="3" t="s">
        <v>16</v>
      </c>
      <c r="B75" s="22">
        <v>59.6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>
        <v>48</v>
      </c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55.7</v>
      </c>
      <c r="AG75" s="89">
        <f t="shared" si="16"/>
        <v>3.8999999999999986</v>
      </c>
      <c r="AI75" s="6"/>
    </row>
    <row r="76" spans="1:35" s="11" customFormat="1" ht="15.75">
      <c r="A76" s="12" t="s">
        <v>48</v>
      </c>
      <c r="B76" s="22">
        <f>188.3</f>
        <v>188.3</v>
      </c>
      <c r="C76" s="22">
        <v>13.1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>
        <v>1.9</v>
      </c>
      <c r="Q76" s="81"/>
      <c r="R76" s="79"/>
      <c r="S76" s="80"/>
      <c r="T76" s="80"/>
      <c r="U76" s="79">
        <v>88.9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152.2</v>
      </c>
      <c r="AG76" s="89">
        <f t="shared" si="16"/>
        <v>49.20000000000002</v>
      </c>
      <c r="AI76" s="6"/>
    </row>
    <row r="77" spans="1:35" s="11" customFormat="1" ht="15.75">
      <c r="A77" s="3" t="s">
        <v>5</v>
      </c>
      <c r="B77" s="22">
        <v>140.3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>
        <v>81.4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133.3</v>
      </c>
      <c r="AG77" s="89">
        <f t="shared" si="16"/>
        <v>8.800000000000011</v>
      </c>
      <c r="AI77" s="6"/>
    </row>
    <row r="78" spans="1:35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  <c r="AI78" s="6"/>
    </row>
    <row r="79" spans="1:35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  <c r="AI79" s="6"/>
    </row>
    <row r="80" spans="1:35" s="11" customFormat="1" ht="15.75">
      <c r="A80" s="3" t="s">
        <v>2</v>
      </c>
      <c r="B80" s="22">
        <v>8.4</v>
      </c>
      <c r="C80" s="22">
        <v>9.3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8.400000000000002</v>
      </c>
      <c r="AI80" s="6"/>
    </row>
    <row r="81" spans="1:35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  <c r="AI81" s="6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  <c r="AI88" s="6"/>
    </row>
    <row r="89" spans="1:35" ht="15.75">
      <c r="A89" s="4" t="s">
        <v>50</v>
      </c>
      <c r="B89" s="22">
        <f>8854.6+9000</f>
        <v>17854.6</v>
      </c>
      <c r="C89" s="22">
        <v>122.9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>
        <v>192.1</v>
      </c>
      <c r="R89" s="67"/>
      <c r="S89" s="72"/>
      <c r="T89" s="72">
        <v>9596.7</v>
      </c>
      <c r="U89" s="67"/>
      <c r="V89" s="67">
        <v>54.9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15827.9</v>
      </c>
      <c r="AG89" s="72">
        <f t="shared" si="16"/>
        <v>2149.6000000000004</v>
      </c>
      <c r="AH89" s="11"/>
      <c r="AI89" s="6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>
        <v>1886.8</v>
      </c>
      <c r="R90" s="67"/>
      <c r="S90" s="72"/>
      <c r="T90" s="72"/>
      <c r="U90" s="67"/>
      <c r="V90" s="67"/>
      <c r="W90" s="67">
        <v>1886.8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v>833.3</v>
      </c>
      <c r="C91" s="22">
        <v>833.4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1666.6999999999998</v>
      </c>
      <c r="AH91" s="11"/>
      <c r="AI91" s="6"/>
    </row>
    <row r="92" spans="1:34" ht="15.75">
      <c r="A92" s="4" t="s">
        <v>37</v>
      </c>
      <c r="B92" s="22">
        <f>46563.6-5800</f>
        <v>40763.6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>
        <v>30405.7</v>
      </c>
      <c r="P92" s="67">
        <v>10266.3</v>
      </c>
      <c r="Q92" s="67">
        <v>91.6</v>
      </c>
      <c r="R92" s="67"/>
      <c r="S92" s="72"/>
      <c r="T92" s="72"/>
      <c r="U92" s="67">
        <v>-29196.2</v>
      </c>
      <c r="V92" s="67">
        <v>1482.1</v>
      </c>
      <c r="W92" s="67">
        <v>9293.3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32044.799999999996</v>
      </c>
      <c r="AG92" s="72">
        <f t="shared" si="16"/>
        <v>18420.800000000003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263305.19999999995</v>
      </c>
      <c r="C94" s="35">
        <f t="shared" si="17"/>
        <v>13399.5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4034.2999999999993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33857.399999999994</v>
      </c>
      <c r="M94" s="91">
        <f t="shared" si="17"/>
        <v>13450.9</v>
      </c>
      <c r="N94" s="82">
        <f t="shared" si="17"/>
        <v>7202.000000000001</v>
      </c>
      <c r="O94" s="82">
        <f t="shared" si="17"/>
        <v>30524.5</v>
      </c>
      <c r="P94" s="82">
        <f t="shared" si="17"/>
        <v>10666.5</v>
      </c>
      <c r="Q94" s="82">
        <f t="shared" si="17"/>
        <v>2269.2</v>
      </c>
      <c r="R94" s="82">
        <f t="shared" si="17"/>
        <v>5957.1</v>
      </c>
      <c r="S94" s="82">
        <f t="shared" si="17"/>
        <v>4598.900000000001</v>
      </c>
      <c r="T94" s="82">
        <f t="shared" si="17"/>
        <v>32024.6</v>
      </c>
      <c r="U94" s="82">
        <f t="shared" si="17"/>
        <v>16639.699999999986</v>
      </c>
      <c r="V94" s="82">
        <f t="shared" si="17"/>
        <v>5279.5</v>
      </c>
      <c r="W94" s="82">
        <f t="shared" si="17"/>
        <v>11099.8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202905.8</v>
      </c>
      <c r="AG94" s="83">
        <f>AG10+AG15+AG24+AG33+AG47+AG52+AG54+AG61+AG62+AG69+AG71+AG72+AG76+AG81+AG82+AG83+AG88+AG89+AG90+AG91+AG70+AG40+AG92</f>
        <v>73798.90000000001</v>
      </c>
    </row>
    <row r="95" spans="1:33" ht="15.75">
      <c r="A95" s="3" t="s">
        <v>5</v>
      </c>
      <c r="B95" s="22">
        <f aca="true" t="shared" si="18" ref="B95:AD95">B11+B17+B26+B34+B55+B63+B73+B41+B77+B48</f>
        <v>85905.40000000001</v>
      </c>
      <c r="C95" s="22">
        <f t="shared" si="18"/>
        <v>371.00000000000006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101.30000000000001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10</v>
      </c>
      <c r="P95" s="67">
        <f t="shared" si="18"/>
        <v>0</v>
      </c>
      <c r="Q95" s="67">
        <f t="shared" si="18"/>
        <v>5.7</v>
      </c>
      <c r="R95" s="67">
        <f t="shared" si="18"/>
        <v>0</v>
      </c>
      <c r="S95" s="67">
        <f t="shared" si="18"/>
        <v>0</v>
      </c>
      <c r="T95" s="67">
        <f t="shared" si="18"/>
        <v>2747.5</v>
      </c>
      <c r="U95" s="67">
        <f t="shared" si="18"/>
        <v>40282.8</v>
      </c>
      <c r="V95" s="67">
        <f t="shared" si="18"/>
        <v>1997.5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81942.20000000001</v>
      </c>
      <c r="AG95" s="71">
        <f>B95+C95-AF95</f>
        <v>4334.199999999997</v>
      </c>
    </row>
    <row r="96" spans="1:33" ht="15.75">
      <c r="A96" s="3" t="s">
        <v>2</v>
      </c>
      <c r="B96" s="22">
        <f aca="true" t="shared" si="19" ref="B96:AD96">B12+B20+B29+B36+B57+B66+B44+B80+B74+B53</f>
        <v>38485.5</v>
      </c>
      <c r="C96" s="22">
        <f t="shared" si="19"/>
        <v>1263.3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28.5</v>
      </c>
      <c r="P96" s="67">
        <f t="shared" si="19"/>
        <v>86</v>
      </c>
      <c r="Q96" s="67">
        <f t="shared" si="19"/>
        <v>0.7</v>
      </c>
      <c r="R96" s="67">
        <f t="shared" si="19"/>
        <v>3238.6</v>
      </c>
      <c r="S96" s="67">
        <f t="shared" si="19"/>
        <v>599.8000000000001</v>
      </c>
      <c r="T96" s="67">
        <f t="shared" si="19"/>
        <v>2295.4</v>
      </c>
      <c r="U96" s="67">
        <f t="shared" si="19"/>
        <v>4484.900000000001</v>
      </c>
      <c r="V96" s="67">
        <f t="shared" si="19"/>
        <v>1224.9</v>
      </c>
      <c r="W96" s="67">
        <f t="shared" si="19"/>
        <v>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16821.899999999998</v>
      </c>
      <c r="AG96" s="71">
        <f>B96+C96-AF96</f>
        <v>22926.900000000005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8190.9</v>
      </c>
      <c r="C98" s="22">
        <f t="shared" si="21"/>
        <v>42.9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24.7</v>
      </c>
      <c r="P98" s="67">
        <f t="shared" si="21"/>
        <v>46.4</v>
      </c>
      <c r="Q98" s="67">
        <f t="shared" si="21"/>
        <v>0</v>
      </c>
      <c r="R98" s="67">
        <f t="shared" si="21"/>
        <v>231.5</v>
      </c>
      <c r="S98" s="67">
        <f t="shared" si="21"/>
        <v>741.1</v>
      </c>
      <c r="T98" s="67">
        <f t="shared" si="21"/>
        <v>480.5</v>
      </c>
      <c r="U98" s="67">
        <f t="shared" si="21"/>
        <v>390.40000000000003</v>
      </c>
      <c r="V98" s="67">
        <f t="shared" si="21"/>
        <v>2.3</v>
      </c>
      <c r="W98" s="67">
        <f t="shared" si="21"/>
        <v>-93.5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4360.4</v>
      </c>
      <c r="AG98" s="71">
        <f>B98+C98-AF98</f>
        <v>3873.3999999999996</v>
      </c>
    </row>
    <row r="99" spans="1:33" ht="15.75">
      <c r="A99" s="3" t="s">
        <v>16</v>
      </c>
      <c r="B99" s="22">
        <f aca="true" t="shared" si="22" ref="B99:X99">B21+B30+B49+B37+B58+B13+B75+B67</f>
        <v>8287.5</v>
      </c>
      <c r="C99" s="22">
        <f t="shared" si="22"/>
        <v>0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265.6</v>
      </c>
      <c r="Q99" s="67">
        <f t="shared" si="22"/>
        <v>0</v>
      </c>
      <c r="R99" s="67">
        <f t="shared" si="22"/>
        <v>1879.3</v>
      </c>
      <c r="S99" s="67">
        <f t="shared" si="22"/>
        <v>380.3</v>
      </c>
      <c r="T99" s="67">
        <f t="shared" si="22"/>
        <v>796.3000000000001</v>
      </c>
      <c r="U99" s="67">
        <f t="shared" si="22"/>
        <v>21.7</v>
      </c>
      <c r="V99" s="67">
        <f t="shared" si="22"/>
        <v>242.3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6127.700000000001</v>
      </c>
      <c r="AG99" s="71">
        <f>B99+C99-AF99</f>
        <v>2159.7999999999993</v>
      </c>
    </row>
    <row r="100" spans="1:33" ht="12.75">
      <c r="A100" s="1" t="s">
        <v>35</v>
      </c>
      <c r="B100" s="2">
        <f aca="true" t="shared" si="24" ref="B100:AD100">B94-B95-B96-B97-B98-B99</f>
        <v>122419.59999999995</v>
      </c>
      <c r="C100" s="2">
        <f t="shared" si="24"/>
        <v>11722.300000000001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962.4999999999989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4311.199999999994</v>
      </c>
      <c r="M100" s="92">
        <f t="shared" si="24"/>
        <v>10983.3</v>
      </c>
      <c r="N100" s="84">
        <f t="shared" si="24"/>
        <v>4651.800000000001</v>
      </c>
      <c r="O100" s="84">
        <f t="shared" si="24"/>
        <v>30461.3</v>
      </c>
      <c r="P100" s="84">
        <f t="shared" si="24"/>
        <v>10268.5</v>
      </c>
      <c r="Q100" s="84">
        <f t="shared" si="24"/>
        <v>2262.8</v>
      </c>
      <c r="R100" s="84">
        <f t="shared" si="24"/>
        <v>607.7000000000005</v>
      </c>
      <c r="S100" s="84">
        <f t="shared" si="24"/>
        <v>2877.7000000000003</v>
      </c>
      <c r="T100" s="84">
        <f t="shared" si="24"/>
        <v>25704.899999999998</v>
      </c>
      <c r="U100" s="84">
        <f t="shared" si="24"/>
        <v>-28540.10000000002</v>
      </c>
      <c r="V100" s="84">
        <f t="shared" si="24"/>
        <v>1812.4999999999998</v>
      </c>
      <c r="W100" s="84">
        <f t="shared" si="24"/>
        <v>11192.199999999999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93637.29999999999</v>
      </c>
      <c r="AG100" s="84">
        <f>AG94-AG95-AG96-AG97-AG98-AG99</f>
        <v>40504.600000000006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U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70" t="s">
        <v>12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</row>
    <row r="2" spans="1:33" ht="22.5" customHeight="1">
      <c r="A2" s="171" t="s">
        <v>55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56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1117.2999999999956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940.7000000000007</v>
      </c>
      <c r="AF7" s="54"/>
      <c r="AG7" s="40"/>
    </row>
    <row r="8" spans="1:55" ht="18" customHeight="1">
      <c r="A8" s="47" t="s">
        <v>30</v>
      </c>
      <c r="B8" s="33">
        <f>SUM(E8:AB8)</f>
        <v>118587.70000000001</v>
      </c>
      <c r="C8" s="87">
        <v>73985</v>
      </c>
      <c r="D8" s="59">
        <v>15332.8</v>
      </c>
      <c r="E8" s="60">
        <v>6025.5</v>
      </c>
      <c r="F8" s="61">
        <v>3113.3</v>
      </c>
      <c r="G8" s="61">
        <v>5865.7</v>
      </c>
      <c r="H8" s="61">
        <v>7544.8</v>
      </c>
      <c r="I8" s="61"/>
      <c r="J8" s="61">
        <v>14810.1</v>
      </c>
      <c r="K8" s="62">
        <v>1817.7</v>
      </c>
      <c r="L8" s="61">
        <v>2063.4</v>
      </c>
      <c r="M8" s="62">
        <v>2952.2</v>
      </c>
      <c r="N8" s="61">
        <v>3827</v>
      </c>
      <c r="O8" s="61">
        <v>11375.3</v>
      </c>
      <c r="P8" s="61">
        <v>3461</v>
      </c>
      <c r="Q8" s="61">
        <v>3460.2</v>
      </c>
      <c r="R8" s="61">
        <v>6830.6</v>
      </c>
      <c r="S8" s="63">
        <v>6166.6</v>
      </c>
      <c r="T8" s="63">
        <v>9762.7</v>
      </c>
      <c r="U8" s="61">
        <v>2754.6</v>
      </c>
      <c r="V8" s="61">
        <v>3159.3</v>
      </c>
      <c r="W8" s="61">
        <v>7276</v>
      </c>
      <c r="X8" s="62">
        <v>16321.7</v>
      </c>
      <c r="Y8" s="62"/>
      <c r="Z8" s="62"/>
      <c r="AA8" s="62"/>
      <c r="AB8" s="61"/>
      <c r="AC8" s="64"/>
      <c r="AD8" s="64"/>
      <c r="AE8" s="65">
        <f>SUM(D8:AD8)+C8-AF9+AF16+AF25</f>
        <v>33508.600000000035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217052.4</v>
      </c>
      <c r="C9" s="23">
        <f t="shared" si="0"/>
        <v>73800.6</v>
      </c>
      <c r="D9" s="68">
        <f t="shared" si="0"/>
        <v>0</v>
      </c>
      <c r="E9" s="68">
        <f t="shared" si="0"/>
        <v>21358.3</v>
      </c>
      <c r="F9" s="68">
        <f t="shared" si="0"/>
        <v>3204.4</v>
      </c>
      <c r="G9" s="68">
        <f t="shared" si="0"/>
        <v>5865.6</v>
      </c>
      <c r="H9" s="68">
        <f t="shared" si="0"/>
        <v>7484.600000000001</v>
      </c>
      <c r="I9" s="68">
        <f t="shared" si="0"/>
        <v>0</v>
      </c>
      <c r="J9" s="68">
        <f t="shared" si="0"/>
        <v>15014.099999999999</v>
      </c>
      <c r="K9" s="68">
        <f t="shared" si="0"/>
        <v>28247.40000000001</v>
      </c>
      <c r="L9" s="68">
        <f t="shared" si="0"/>
        <v>11766.099999999999</v>
      </c>
      <c r="M9" s="90">
        <f t="shared" si="0"/>
        <v>3831.8</v>
      </c>
      <c r="N9" s="68">
        <f t="shared" si="0"/>
        <v>4810.699999999998</v>
      </c>
      <c r="O9" s="68">
        <f t="shared" si="0"/>
        <v>11375.300000000001</v>
      </c>
      <c r="P9" s="68">
        <f t="shared" si="0"/>
        <v>3461</v>
      </c>
      <c r="Q9" s="68">
        <f t="shared" si="0"/>
        <v>3460.3</v>
      </c>
      <c r="R9" s="68">
        <f t="shared" si="0"/>
        <v>1154.3999999999999</v>
      </c>
      <c r="S9" s="68">
        <f t="shared" si="0"/>
        <v>3293.8</v>
      </c>
      <c r="T9" s="68">
        <f t="shared" si="0"/>
        <v>12679.3</v>
      </c>
      <c r="U9" s="68">
        <f t="shared" si="0"/>
        <v>50866.90000000001</v>
      </c>
      <c r="V9" s="68">
        <f t="shared" si="0"/>
        <v>3159.3999999999987</v>
      </c>
      <c r="W9" s="68">
        <f t="shared" si="0"/>
        <v>7276.2</v>
      </c>
      <c r="X9" s="68">
        <f t="shared" si="0"/>
        <v>16321.699999999999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214631.29999999996</v>
      </c>
      <c r="AG9" s="90">
        <f>AG10+AG15+AG24+AG33+AG47+AG52+AG54+AG61+AG62+AG71+AG72+AG76+AG88+AG81+AG83+AG82+AG69+AG89+AG91+AG90+AG70+AG40+AG92</f>
        <v>76221.70000000001</v>
      </c>
      <c r="AH9" s="41"/>
      <c r="AI9" s="41"/>
    </row>
    <row r="10" spans="1:35" s="18" customFormat="1" ht="15.75">
      <c r="A10" s="96" t="s">
        <v>4</v>
      </c>
      <c r="B10" s="97">
        <f>19083.7+56.6</f>
        <v>19140.3</v>
      </c>
      <c r="C10" s="97">
        <v>2464.5</v>
      </c>
      <c r="D10" s="72"/>
      <c r="E10" s="72">
        <v>203.9</v>
      </c>
      <c r="F10" s="72">
        <v>119.8</v>
      </c>
      <c r="G10" s="72">
        <v>249.5</v>
      </c>
      <c r="H10" s="72">
        <v>28.2</v>
      </c>
      <c r="I10" s="72"/>
      <c r="J10" s="70">
        <v>94.6</v>
      </c>
      <c r="K10" s="72">
        <f>1641.4</f>
        <v>1641.4</v>
      </c>
      <c r="L10" s="72">
        <f>3692.3-8.4</f>
        <v>3683.9</v>
      </c>
      <c r="M10" s="72">
        <v>1284.9</v>
      </c>
      <c r="N10" s="72">
        <v>43.8</v>
      </c>
      <c r="O10" s="72">
        <v>45.6</v>
      </c>
      <c r="P10" s="72">
        <v>7</v>
      </c>
      <c r="Q10" s="72">
        <v>132</v>
      </c>
      <c r="R10" s="72">
        <v>69</v>
      </c>
      <c r="S10" s="72">
        <v>12.9</v>
      </c>
      <c r="T10" s="72">
        <v>1131.2</v>
      </c>
      <c r="U10" s="72">
        <v>2053.4</v>
      </c>
      <c r="V10" s="72">
        <v>6027.2</v>
      </c>
      <c r="W10" s="72">
        <v>894.6</v>
      </c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17722.899999999998</v>
      </c>
      <c r="AG10" s="72">
        <f>B10+C10-AF10</f>
        <v>3881.9000000000015</v>
      </c>
      <c r="AI10" s="21"/>
    </row>
    <row r="11" spans="1:35" s="18" customFormat="1" ht="15.75">
      <c r="A11" s="98" t="s">
        <v>5</v>
      </c>
      <c r="B11" s="97">
        <v>17709.2</v>
      </c>
      <c r="C11" s="97">
        <v>1338.2000000000044</v>
      </c>
      <c r="D11" s="72"/>
      <c r="E11" s="72">
        <v>196.5</v>
      </c>
      <c r="F11" s="72">
        <v>40.7</v>
      </c>
      <c r="G11" s="72">
        <v>134.2</v>
      </c>
      <c r="H11" s="72">
        <v>1.1</v>
      </c>
      <c r="I11" s="72"/>
      <c r="J11" s="72"/>
      <c r="K11" s="72">
        <v>1320.4</v>
      </c>
      <c r="L11" s="72">
        <v>3625.8</v>
      </c>
      <c r="M11" s="72">
        <v>1272.4</v>
      </c>
      <c r="N11" s="72"/>
      <c r="O11" s="72"/>
      <c r="P11" s="72"/>
      <c r="Q11" s="72">
        <v>130.1</v>
      </c>
      <c r="R11" s="72"/>
      <c r="S11" s="72">
        <v>0.9</v>
      </c>
      <c r="T11" s="72">
        <v>1054</v>
      </c>
      <c r="U11" s="72">
        <v>1991.7</v>
      </c>
      <c r="V11" s="72">
        <v>5764.4</v>
      </c>
      <c r="W11" s="72">
        <v>865.1</v>
      </c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16397.3</v>
      </c>
      <c r="AG11" s="72">
        <f>B11+C11-AF11</f>
        <v>2650.100000000006</v>
      </c>
      <c r="AI11" s="21"/>
    </row>
    <row r="12" spans="1:35" s="18" customFormat="1" ht="15.75">
      <c r="A12" s="98" t="s">
        <v>2</v>
      </c>
      <c r="B12" s="99">
        <v>357.7</v>
      </c>
      <c r="C12" s="97">
        <v>299.8</v>
      </c>
      <c r="D12" s="72"/>
      <c r="E12" s="72"/>
      <c r="F12" s="72"/>
      <c r="G12" s="72">
        <v>77</v>
      </c>
      <c r="H12" s="72">
        <v>0.5</v>
      </c>
      <c r="I12" s="72"/>
      <c r="J12" s="72">
        <v>3</v>
      </c>
      <c r="K12" s="72">
        <v>170</v>
      </c>
      <c r="L12" s="72">
        <v>5.8</v>
      </c>
      <c r="M12" s="72"/>
      <c r="N12" s="72"/>
      <c r="O12" s="72">
        <v>23.6</v>
      </c>
      <c r="P12" s="72"/>
      <c r="Q12" s="72"/>
      <c r="R12" s="72"/>
      <c r="S12" s="72"/>
      <c r="T12" s="72">
        <v>4.9</v>
      </c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284.8</v>
      </c>
      <c r="AG12" s="72">
        <f>B12+C12-AF12</f>
        <v>372.7</v>
      </c>
      <c r="AI12" s="21"/>
    </row>
    <row r="13" spans="1:35" s="18" customFormat="1" ht="15.75" hidden="1">
      <c r="A13" s="98" t="s">
        <v>16</v>
      </c>
      <c r="B13" s="97"/>
      <c r="C13" s="97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  <c r="AI13" s="21"/>
    </row>
    <row r="14" spans="1:35" s="18" customFormat="1" ht="15.75">
      <c r="A14" s="98" t="s">
        <v>23</v>
      </c>
      <c r="B14" s="97">
        <f aca="true" t="shared" si="2" ref="B14:Y14">B10-B11-B12-B13</f>
        <v>1073.3999999999985</v>
      </c>
      <c r="C14" s="97">
        <v>826.4999999999957</v>
      </c>
      <c r="D14" s="72">
        <f t="shared" si="2"/>
        <v>0</v>
      </c>
      <c r="E14" s="72">
        <f t="shared" si="2"/>
        <v>7.400000000000006</v>
      </c>
      <c r="F14" s="72">
        <f t="shared" si="2"/>
        <v>79.1</v>
      </c>
      <c r="G14" s="72">
        <f t="shared" si="2"/>
        <v>38.30000000000001</v>
      </c>
      <c r="H14" s="72">
        <f t="shared" si="2"/>
        <v>26.599999999999998</v>
      </c>
      <c r="I14" s="72">
        <f t="shared" si="2"/>
        <v>0</v>
      </c>
      <c r="J14" s="72">
        <f t="shared" si="2"/>
        <v>91.6</v>
      </c>
      <c r="K14" s="72">
        <f t="shared" si="2"/>
        <v>151</v>
      </c>
      <c r="L14" s="72">
        <f t="shared" si="2"/>
        <v>52.29999999999991</v>
      </c>
      <c r="M14" s="72">
        <f t="shared" si="2"/>
        <v>12.5</v>
      </c>
      <c r="N14" s="72">
        <f t="shared" si="2"/>
        <v>43.8</v>
      </c>
      <c r="O14" s="72">
        <f t="shared" si="2"/>
        <v>22</v>
      </c>
      <c r="P14" s="72">
        <f t="shared" si="2"/>
        <v>7</v>
      </c>
      <c r="Q14" s="72">
        <f t="shared" si="2"/>
        <v>1.9000000000000057</v>
      </c>
      <c r="R14" s="72">
        <f t="shared" si="2"/>
        <v>69</v>
      </c>
      <c r="S14" s="72">
        <f t="shared" si="2"/>
        <v>12</v>
      </c>
      <c r="T14" s="72">
        <f t="shared" si="2"/>
        <v>72.30000000000004</v>
      </c>
      <c r="U14" s="72">
        <f t="shared" si="2"/>
        <v>61.700000000000045</v>
      </c>
      <c r="V14" s="72">
        <f t="shared" si="2"/>
        <v>262.8000000000002</v>
      </c>
      <c r="W14" s="72">
        <f t="shared" si="2"/>
        <v>29.5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1040.8000000000002</v>
      </c>
      <c r="AG14" s="72">
        <f>AG10-AG11-AG12-AG13</f>
        <v>859.0999999999956</v>
      </c>
      <c r="AI14" s="21"/>
    </row>
    <row r="15" spans="1:35" s="18" customFormat="1" ht="15" customHeight="1">
      <c r="A15" s="96" t="s">
        <v>6</v>
      </c>
      <c r="B15" s="97">
        <f>83747.1+3.2+21.3</f>
        <v>83771.6</v>
      </c>
      <c r="C15" s="97">
        <v>29823.199999999997</v>
      </c>
      <c r="D15" s="100"/>
      <c r="E15" s="100"/>
      <c r="F15" s="72">
        <f>20+40.7</f>
        <v>60.7</v>
      </c>
      <c r="G15" s="72">
        <v>1437.6</v>
      </c>
      <c r="H15" s="72">
        <v>1886</v>
      </c>
      <c r="I15" s="72"/>
      <c r="J15" s="72">
        <v>1381.2</v>
      </c>
      <c r="K15" s="72">
        <f>13902.2+10550.7</f>
        <v>24452.9</v>
      </c>
      <c r="L15" s="72">
        <v>2976.1</v>
      </c>
      <c r="M15" s="72">
        <v>3278.2</v>
      </c>
      <c r="N15" s="72">
        <v>2126</v>
      </c>
      <c r="O15" s="72">
        <v>3292.8</v>
      </c>
      <c r="P15" s="72">
        <v>2453.5</v>
      </c>
      <c r="Q15" s="72">
        <v>875.9</v>
      </c>
      <c r="R15" s="72">
        <v>807.5</v>
      </c>
      <c r="S15" s="72">
        <v>2786.6</v>
      </c>
      <c r="T15" s="72">
        <v>647.3</v>
      </c>
      <c r="U15" s="72">
        <f>23039.2+12514</f>
        <v>35553.2</v>
      </c>
      <c r="V15" s="72">
        <v>298.2</v>
      </c>
      <c r="W15" s="72">
        <v>-6.2</v>
      </c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84307.5</v>
      </c>
      <c r="AG15" s="72">
        <f aca="true" t="shared" si="3" ref="AG15:AG31">B15+C15-AF15</f>
        <v>29287.300000000003</v>
      </c>
      <c r="AI15" s="21"/>
    </row>
    <row r="16" spans="1:35" s="104" customFormat="1" ht="15" customHeight="1">
      <c r="A16" s="101" t="s">
        <v>38</v>
      </c>
      <c r="B16" s="102">
        <f>23019.6+3.2</f>
        <v>23022.8</v>
      </c>
      <c r="C16" s="102">
        <v>125.4</v>
      </c>
      <c r="D16" s="88"/>
      <c r="E16" s="88"/>
      <c r="F16" s="76">
        <v>40.7</v>
      </c>
      <c r="G16" s="76"/>
      <c r="H16" s="76"/>
      <c r="I16" s="76"/>
      <c r="J16" s="76"/>
      <c r="K16" s="76">
        <v>10550.7</v>
      </c>
      <c r="L16" s="76"/>
      <c r="M16" s="76"/>
      <c r="N16" s="76"/>
      <c r="O16" s="76"/>
      <c r="P16" s="76"/>
      <c r="Q16" s="76"/>
      <c r="R16" s="76"/>
      <c r="S16" s="76"/>
      <c r="T16" s="76"/>
      <c r="U16" s="76">
        <v>12514</v>
      </c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88">
        <f t="shared" si="1"/>
        <v>23105.4</v>
      </c>
      <c r="AG16" s="88">
        <f t="shared" si="3"/>
        <v>42.79999999999927</v>
      </c>
      <c r="AH16" s="103"/>
      <c r="AI16" s="21"/>
    </row>
    <row r="17" spans="1:35" s="18" customFormat="1" ht="15.75">
      <c r="A17" s="98" t="s">
        <v>5</v>
      </c>
      <c r="B17" s="97">
        <f>58279.96+3.2</f>
        <v>58283.159999999996</v>
      </c>
      <c r="C17" s="97">
        <v>2363.399999999994</v>
      </c>
      <c r="D17" s="72"/>
      <c r="E17" s="72"/>
      <c r="F17" s="72">
        <v>60.7</v>
      </c>
      <c r="G17" s="72"/>
      <c r="H17" s="72"/>
      <c r="I17" s="72"/>
      <c r="J17" s="72"/>
      <c r="K17" s="72">
        <f>13022.4+10550.7</f>
        <v>23573.1</v>
      </c>
      <c r="L17" s="72"/>
      <c r="M17" s="72"/>
      <c r="N17" s="72"/>
      <c r="O17" s="72"/>
      <c r="P17" s="72"/>
      <c r="Q17" s="72"/>
      <c r="R17" s="72"/>
      <c r="S17" s="72"/>
      <c r="T17" s="72"/>
      <c r="U17" s="72">
        <f>21765.1+12514</f>
        <v>34279.1</v>
      </c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57912.899999999994</v>
      </c>
      <c r="AG17" s="72">
        <f t="shared" si="3"/>
        <v>2733.659999999996</v>
      </c>
      <c r="AH17" s="21"/>
      <c r="AI17" s="21"/>
    </row>
    <row r="18" spans="1:35" s="18" customFormat="1" ht="15.75">
      <c r="A18" s="98" t="s">
        <v>3</v>
      </c>
      <c r="B18" s="97">
        <v>35.4</v>
      </c>
      <c r="C18" s="97">
        <v>0</v>
      </c>
      <c r="D18" s="72"/>
      <c r="E18" s="72"/>
      <c r="F18" s="72"/>
      <c r="G18" s="72"/>
      <c r="H18" s="72">
        <v>0.9</v>
      </c>
      <c r="I18" s="72"/>
      <c r="J18" s="72">
        <v>0.3</v>
      </c>
      <c r="K18" s="72"/>
      <c r="L18" s="72"/>
      <c r="M18" s="72"/>
      <c r="N18" s="72"/>
      <c r="O18" s="72"/>
      <c r="P18" s="72"/>
      <c r="Q18" s="72"/>
      <c r="R18" s="72"/>
      <c r="S18" s="72"/>
      <c r="T18" s="72">
        <v>8.7</v>
      </c>
      <c r="U18" s="72">
        <v>9.7</v>
      </c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19.599999999999998</v>
      </c>
      <c r="AG18" s="72">
        <f t="shared" si="3"/>
        <v>15.8</v>
      </c>
      <c r="AI18" s="21"/>
    </row>
    <row r="19" spans="1:35" s="18" customFormat="1" ht="15.75">
      <c r="A19" s="98" t="s">
        <v>1</v>
      </c>
      <c r="B19" s="97">
        <v>4280.4</v>
      </c>
      <c r="C19" s="97">
        <v>3541.3999999999996</v>
      </c>
      <c r="D19" s="72"/>
      <c r="E19" s="72"/>
      <c r="F19" s="72"/>
      <c r="G19" s="72">
        <v>240.3</v>
      </c>
      <c r="H19" s="72">
        <v>427.1</v>
      </c>
      <c r="I19" s="72"/>
      <c r="J19" s="72">
        <v>446.9</v>
      </c>
      <c r="K19" s="72">
        <v>102.1</v>
      </c>
      <c r="L19" s="72">
        <v>46</v>
      </c>
      <c r="M19" s="72">
        <v>154.6</v>
      </c>
      <c r="N19" s="72">
        <v>766.9</v>
      </c>
      <c r="O19" s="72"/>
      <c r="P19" s="72">
        <v>945</v>
      </c>
      <c r="Q19" s="72">
        <v>400</v>
      </c>
      <c r="R19" s="72">
        <v>1</v>
      </c>
      <c r="S19" s="72">
        <v>1121.4</v>
      </c>
      <c r="T19" s="72">
        <v>59</v>
      </c>
      <c r="U19" s="72">
        <v>682.9</v>
      </c>
      <c r="V19" s="72">
        <v>18.7</v>
      </c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5411.9</v>
      </c>
      <c r="AG19" s="72">
        <f t="shared" si="3"/>
        <v>2409.8999999999996</v>
      </c>
      <c r="AI19" s="21"/>
    </row>
    <row r="20" spans="1:35" s="18" customFormat="1" ht="15.75">
      <c r="A20" s="98" t="s">
        <v>2</v>
      </c>
      <c r="B20" s="97">
        <v>16303.4</v>
      </c>
      <c r="C20" s="97">
        <v>20438.6</v>
      </c>
      <c r="D20" s="72"/>
      <c r="E20" s="72"/>
      <c r="F20" s="72"/>
      <c r="G20" s="72">
        <v>688.8</v>
      </c>
      <c r="H20" s="72">
        <v>1267.7</v>
      </c>
      <c r="I20" s="72"/>
      <c r="J20" s="72">
        <v>920.8</v>
      </c>
      <c r="K20" s="72">
        <v>531.8</v>
      </c>
      <c r="L20" s="72">
        <v>2870.4</v>
      </c>
      <c r="M20" s="72">
        <v>2522</v>
      </c>
      <c r="N20" s="72">
        <f>1076.6+267.2</f>
        <v>1343.8</v>
      </c>
      <c r="O20" s="72">
        <v>3290.1</v>
      </c>
      <c r="P20" s="72">
        <v>1467.5</v>
      </c>
      <c r="Q20" s="72">
        <v>255.7</v>
      </c>
      <c r="R20" s="72">
        <v>697.1</v>
      </c>
      <c r="S20" s="72">
        <v>813.5</v>
      </c>
      <c r="T20" s="72">
        <v>565.4</v>
      </c>
      <c r="U20" s="72">
        <v>107.9</v>
      </c>
      <c r="V20" s="72">
        <v>63.1</v>
      </c>
      <c r="W20" s="72">
        <v>-5.9</v>
      </c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17399.7</v>
      </c>
      <c r="AG20" s="72">
        <f t="shared" si="3"/>
        <v>19342.3</v>
      </c>
      <c r="AI20" s="21"/>
    </row>
    <row r="21" spans="1:35" s="18" customFormat="1" ht="15.75">
      <c r="A21" s="98" t="s">
        <v>16</v>
      </c>
      <c r="B21" s="97">
        <v>1194.5</v>
      </c>
      <c r="C21" s="97">
        <v>157.20000000000005</v>
      </c>
      <c r="D21" s="72"/>
      <c r="E21" s="72"/>
      <c r="F21" s="72"/>
      <c r="G21" s="72"/>
      <c r="H21" s="72"/>
      <c r="I21" s="72"/>
      <c r="J21" s="72"/>
      <c r="K21" s="72"/>
      <c r="L21" s="72"/>
      <c r="M21" s="72">
        <v>376.7</v>
      </c>
      <c r="N21" s="72"/>
      <c r="O21" s="72"/>
      <c r="P21" s="72"/>
      <c r="Q21" s="72"/>
      <c r="R21" s="72"/>
      <c r="S21" s="72">
        <v>419.7</v>
      </c>
      <c r="T21" s="72"/>
      <c r="U21" s="72">
        <v>11.5</v>
      </c>
      <c r="V21" s="72">
        <v>196.3</v>
      </c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1004.2</v>
      </c>
      <c r="AG21" s="72">
        <f t="shared" si="3"/>
        <v>347.5</v>
      </c>
      <c r="AI21" s="21"/>
    </row>
    <row r="22" spans="1:35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  <c r="AI22" s="21"/>
    </row>
    <row r="23" spans="1:35" s="18" customFormat="1" ht="15.75">
      <c r="A23" s="98" t="s">
        <v>23</v>
      </c>
      <c r="B23" s="97">
        <f>B15-B17-B18-B19-B20-B21-B22</f>
        <v>3674.740000000007</v>
      </c>
      <c r="C23" s="97">
        <v>3537.000000000011</v>
      </c>
      <c r="D23" s="72">
        <f aca="true" t="shared" si="4" ref="D23:AD23">D15-D17-D18-D19-D20-D21-D22</f>
        <v>0</v>
      </c>
      <c r="E23" s="72">
        <f t="shared" si="4"/>
        <v>0</v>
      </c>
      <c r="F23" s="72">
        <f t="shared" si="4"/>
        <v>0</v>
      </c>
      <c r="G23" s="72">
        <f t="shared" si="4"/>
        <v>508.5</v>
      </c>
      <c r="H23" s="72">
        <f t="shared" si="4"/>
        <v>190.29999999999995</v>
      </c>
      <c r="I23" s="72">
        <f t="shared" si="4"/>
        <v>0</v>
      </c>
      <c r="J23" s="72">
        <f t="shared" si="4"/>
        <v>13.20000000000016</v>
      </c>
      <c r="K23" s="72">
        <f t="shared" si="4"/>
        <v>245.90000000000293</v>
      </c>
      <c r="L23" s="72">
        <f t="shared" si="4"/>
        <v>59.69999999999982</v>
      </c>
      <c r="M23" s="72">
        <f t="shared" si="4"/>
        <v>224.89999999999992</v>
      </c>
      <c r="N23" s="72">
        <f t="shared" si="4"/>
        <v>15.299999999999955</v>
      </c>
      <c r="O23" s="72">
        <f t="shared" si="4"/>
        <v>2.700000000000273</v>
      </c>
      <c r="P23" s="72">
        <f t="shared" si="4"/>
        <v>41</v>
      </c>
      <c r="Q23" s="72">
        <f t="shared" si="4"/>
        <v>220.2</v>
      </c>
      <c r="R23" s="72">
        <f t="shared" si="4"/>
        <v>109.39999999999998</v>
      </c>
      <c r="S23" s="72">
        <f t="shared" si="4"/>
        <v>431.99999999999983</v>
      </c>
      <c r="T23" s="72">
        <f t="shared" si="4"/>
        <v>14.199999999999932</v>
      </c>
      <c r="U23" s="72">
        <f t="shared" si="4"/>
        <v>462.09999999999854</v>
      </c>
      <c r="V23" s="72">
        <f t="shared" si="4"/>
        <v>20.099999999999994</v>
      </c>
      <c r="W23" s="72">
        <f t="shared" si="4"/>
        <v>-0.2999999999999998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2559.200000000001</v>
      </c>
      <c r="AG23" s="72">
        <f t="shared" si="3"/>
        <v>4652.540000000017</v>
      </c>
      <c r="AI23" s="21"/>
    </row>
    <row r="24" spans="1:35" s="18" customFormat="1" ht="15" customHeight="1">
      <c r="A24" s="96" t="s">
        <v>7</v>
      </c>
      <c r="B24" s="97">
        <f>41417.8-99.1-467-180</f>
        <v>40671.700000000004</v>
      </c>
      <c r="C24" s="97">
        <v>7848.9000000000015</v>
      </c>
      <c r="D24" s="72"/>
      <c r="E24" s="72"/>
      <c r="F24" s="72">
        <v>50.4</v>
      </c>
      <c r="G24" s="72"/>
      <c r="H24" s="72">
        <v>1560.6</v>
      </c>
      <c r="I24" s="72"/>
      <c r="J24" s="72">
        <v>365</v>
      </c>
      <c r="K24" s="72">
        <f>382.7+21.5</f>
        <v>404.2</v>
      </c>
      <c r="L24" s="72">
        <f>377.5+9702.8</f>
        <v>10080.3</v>
      </c>
      <c r="M24" s="72"/>
      <c r="N24" s="72">
        <f>6002.3+983.7</f>
        <v>6986</v>
      </c>
      <c r="O24" s="72"/>
      <c r="P24" s="72">
        <v>102.6</v>
      </c>
      <c r="Q24" s="72">
        <v>170.9</v>
      </c>
      <c r="R24" s="72"/>
      <c r="S24" s="72">
        <v>1929.3</v>
      </c>
      <c r="T24" s="72">
        <f>5928.2+3314.6</f>
        <v>9242.8</v>
      </c>
      <c r="U24" s="72">
        <f>5249.2+585.3+45.6</f>
        <v>5880.1</v>
      </c>
      <c r="V24" s="72">
        <v>84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36856.2</v>
      </c>
      <c r="AG24" s="72">
        <f t="shared" si="3"/>
        <v>11664.400000000009</v>
      </c>
      <c r="AI24" s="21"/>
    </row>
    <row r="25" spans="1:35" s="104" customFormat="1" ht="15" customHeight="1">
      <c r="A25" s="101" t="s">
        <v>39</v>
      </c>
      <c r="B25" s="102">
        <v>17038.2</v>
      </c>
      <c r="C25" s="102">
        <v>90.79999999999927</v>
      </c>
      <c r="D25" s="76"/>
      <c r="E25" s="76"/>
      <c r="F25" s="76">
        <v>50.4</v>
      </c>
      <c r="G25" s="76"/>
      <c r="H25" s="76">
        <v>1023.5</v>
      </c>
      <c r="I25" s="76"/>
      <c r="J25" s="76"/>
      <c r="K25" s="76">
        <v>21.4</v>
      </c>
      <c r="L25" s="76">
        <v>9702.8</v>
      </c>
      <c r="M25" s="76"/>
      <c r="N25" s="76">
        <v>983.7</v>
      </c>
      <c r="O25" s="76"/>
      <c r="P25" s="76"/>
      <c r="Q25" s="76"/>
      <c r="R25" s="76"/>
      <c r="S25" s="76">
        <v>1447.3</v>
      </c>
      <c r="T25" s="76">
        <v>3314.6</v>
      </c>
      <c r="U25" s="76">
        <v>585.3</v>
      </c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88">
        <f t="shared" si="1"/>
        <v>17128.999999999996</v>
      </c>
      <c r="AG25" s="88">
        <f t="shared" si="3"/>
        <v>0</v>
      </c>
      <c r="AH25" s="103"/>
      <c r="AI25" s="21"/>
    </row>
    <row r="26" spans="1:35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  <c r="AI26" s="21"/>
    </row>
    <row r="27" spans="1:35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  <c r="AI27" s="21"/>
    </row>
    <row r="28" spans="1:35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  <c r="AI28" s="21"/>
    </row>
    <row r="29" spans="1:35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  <c r="AI29" s="21"/>
    </row>
    <row r="30" spans="1:35" s="18" customFormat="1" ht="15.75">
      <c r="A30" s="98" t="s">
        <v>16</v>
      </c>
      <c r="B30" s="97">
        <v>90.8</v>
      </c>
      <c r="C30" s="97">
        <v>90.9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181.7</v>
      </c>
      <c r="AI30" s="21"/>
    </row>
    <row r="31" spans="1:35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  <c r="AI31" s="21"/>
    </row>
    <row r="32" spans="1:35" s="18" customFormat="1" ht="15.75">
      <c r="A32" s="98" t="s">
        <v>23</v>
      </c>
      <c r="B32" s="97">
        <f>B24-B30</f>
        <v>40580.9</v>
      </c>
      <c r="C32" s="97">
        <v>7758.000000000002</v>
      </c>
      <c r="D32" s="72">
        <f aca="true" t="shared" si="5" ref="D32:AD32">D24-D26-D27-D28-D29-D30-D31</f>
        <v>0</v>
      </c>
      <c r="E32" s="72">
        <f t="shared" si="5"/>
        <v>0</v>
      </c>
      <c r="F32" s="72">
        <f t="shared" si="5"/>
        <v>50.4</v>
      </c>
      <c r="G32" s="72">
        <f t="shared" si="5"/>
        <v>0</v>
      </c>
      <c r="H32" s="72">
        <f t="shared" si="5"/>
        <v>1560.6</v>
      </c>
      <c r="I32" s="72">
        <f t="shared" si="5"/>
        <v>0</v>
      </c>
      <c r="J32" s="72">
        <f t="shared" si="5"/>
        <v>365</v>
      </c>
      <c r="K32" s="72">
        <f t="shared" si="5"/>
        <v>404.2</v>
      </c>
      <c r="L32" s="72">
        <f t="shared" si="5"/>
        <v>10080.3</v>
      </c>
      <c r="M32" s="72">
        <f t="shared" si="5"/>
        <v>0</v>
      </c>
      <c r="N32" s="72">
        <f t="shared" si="5"/>
        <v>6986</v>
      </c>
      <c r="O32" s="72">
        <f t="shared" si="5"/>
        <v>0</v>
      </c>
      <c r="P32" s="72">
        <f t="shared" si="5"/>
        <v>102.6</v>
      </c>
      <c r="Q32" s="72">
        <f t="shared" si="5"/>
        <v>170.9</v>
      </c>
      <c r="R32" s="72">
        <f t="shared" si="5"/>
        <v>0</v>
      </c>
      <c r="S32" s="72">
        <f t="shared" si="5"/>
        <v>1929.3</v>
      </c>
      <c r="T32" s="72">
        <f t="shared" si="5"/>
        <v>9242.8</v>
      </c>
      <c r="U32" s="72">
        <f t="shared" si="5"/>
        <v>5880.1</v>
      </c>
      <c r="V32" s="72">
        <f t="shared" si="5"/>
        <v>84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36856.2</v>
      </c>
      <c r="AG32" s="72">
        <f>AG24-AG30</f>
        <v>11482.700000000008</v>
      </c>
      <c r="AI32" s="21"/>
    </row>
    <row r="33" spans="1:35" s="18" customFormat="1" ht="15" customHeight="1">
      <c r="A33" s="96" t="s">
        <v>8</v>
      </c>
      <c r="B33" s="97">
        <v>392.8</v>
      </c>
      <c r="C33" s="97">
        <v>192.80000000000007</v>
      </c>
      <c r="D33" s="72"/>
      <c r="E33" s="72"/>
      <c r="F33" s="72"/>
      <c r="G33" s="72"/>
      <c r="H33" s="72"/>
      <c r="I33" s="72"/>
      <c r="J33" s="72"/>
      <c r="K33" s="72">
        <v>100.7</v>
      </c>
      <c r="L33" s="72"/>
      <c r="M33" s="72"/>
      <c r="N33" s="72">
        <v>125</v>
      </c>
      <c r="O33" s="72"/>
      <c r="P33" s="72"/>
      <c r="Q33" s="72"/>
      <c r="R33" s="72"/>
      <c r="S33" s="72">
        <v>0.6</v>
      </c>
      <c r="T33" s="72">
        <v>0.8</v>
      </c>
      <c r="U33" s="72">
        <v>205.3</v>
      </c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432.4</v>
      </c>
      <c r="AG33" s="72">
        <f aca="true" t="shared" si="6" ref="AG33:AG38">B33+C33-AF33</f>
        <v>153.20000000000016</v>
      </c>
      <c r="AI33" s="21"/>
    </row>
    <row r="34" spans="1:35" s="18" customFormat="1" ht="15.75">
      <c r="A34" s="98" t="s">
        <v>5</v>
      </c>
      <c r="B34" s="97">
        <v>299.5</v>
      </c>
      <c r="C34" s="97">
        <v>23.899999999999977</v>
      </c>
      <c r="D34" s="72"/>
      <c r="E34" s="72"/>
      <c r="F34" s="72"/>
      <c r="G34" s="72"/>
      <c r="H34" s="72"/>
      <c r="I34" s="72"/>
      <c r="J34" s="72"/>
      <c r="K34" s="72">
        <v>95.6</v>
      </c>
      <c r="L34" s="72"/>
      <c r="M34" s="72"/>
      <c r="N34" s="72"/>
      <c r="O34" s="72"/>
      <c r="P34" s="72"/>
      <c r="Q34" s="72"/>
      <c r="R34" s="72"/>
      <c r="S34" s="72"/>
      <c r="T34" s="72"/>
      <c r="U34" s="72">
        <v>203.1</v>
      </c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298.7</v>
      </c>
      <c r="AG34" s="72">
        <f t="shared" si="6"/>
        <v>24.69999999999999</v>
      </c>
      <c r="AI34" s="21"/>
    </row>
    <row r="35" spans="1:35" s="18" customFormat="1" ht="15.75" hidden="1">
      <c r="A35" s="98" t="s">
        <v>1</v>
      </c>
      <c r="B35" s="97"/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  <c r="AI35" s="21"/>
    </row>
    <row r="36" spans="1:35" s="18" customFormat="1" ht="15.75">
      <c r="A36" s="98" t="s">
        <v>2</v>
      </c>
      <c r="B36" s="105">
        <v>79.9</v>
      </c>
      <c r="C36" s="97">
        <v>117.1</v>
      </c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>
        <v>118.8</v>
      </c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118.8</v>
      </c>
      <c r="AG36" s="72">
        <f t="shared" si="6"/>
        <v>78.2</v>
      </c>
      <c r="AI36" s="21"/>
    </row>
    <row r="37" spans="1:35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  <c r="AI37" s="21"/>
    </row>
    <row r="38" spans="1:35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  <c r="AI38" s="21"/>
    </row>
    <row r="39" spans="1:35" s="18" customFormat="1" ht="15.75">
      <c r="A39" s="98" t="s">
        <v>23</v>
      </c>
      <c r="B39" s="97">
        <f aca="true" t="shared" si="7" ref="B39:AD39">B33-B34-B36-B38-B37-B35</f>
        <v>13.400000000000006</v>
      </c>
      <c r="C39" s="97">
        <v>51.8000000000001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5.1000000000000085</v>
      </c>
      <c r="L39" s="72">
        <f t="shared" si="7"/>
        <v>0</v>
      </c>
      <c r="M39" s="72">
        <f t="shared" si="7"/>
        <v>0</v>
      </c>
      <c r="N39" s="72">
        <f t="shared" si="7"/>
        <v>6.200000000000003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0.6</v>
      </c>
      <c r="T39" s="72">
        <f t="shared" si="7"/>
        <v>0.8</v>
      </c>
      <c r="U39" s="72">
        <f t="shared" si="7"/>
        <v>2.200000000000017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14.900000000000029</v>
      </c>
      <c r="AG39" s="72">
        <f>AG33-AG34-AG36-AG38-AG35-AG37</f>
        <v>50.30000000000017</v>
      </c>
      <c r="AI39" s="21"/>
    </row>
    <row r="40" spans="1:35" s="18" customFormat="1" ht="15" customHeight="1">
      <c r="A40" s="96" t="s">
        <v>29</v>
      </c>
      <c r="B40" s="97">
        <v>1540.7</v>
      </c>
      <c r="C40" s="97">
        <v>121.79999999999995</v>
      </c>
      <c r="D40" s="72"/>
      <c r="E40" s="72"/>
      <c r="F40" s="72"/>
      <c r="G40" s="72">
        <v>71.3</v>
      </c>
      <c r="H40" s="72"/>
      <c r="I40" s="72"/>
      <c r="J40" s="72">
        <v>15.4</v>
      </c>
      <c r="K40" s="72"/>
      <c r="L40" s="72">
        <v>390.3</v>
      </c>
      <c r="M40" s="72">
        <v>13.8</v>
      </c>
      <c r="N40" s="72"/>
      <c r="O40" s="72">
        <v>56.1</v>
      </c>
      <c r="P40" s="72"/>
      <c r="Q40" s="72"/>
      <c r="R40" s="72"/>
      <c r="S40" s="72"/>
      <c r="T40" s="72"/>
      <c r="U40" s="72">
        <v>905.8</v>
      </c>
      <c r="V40" s="72">
        <v>4.8</v>
      </c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1457.4999999999998</v>
      </c>
      <c r="AG40" s="72">
        <f aca="true" t="shared" si="8" ref="AG40:AG45">B40+C40-AF40</f>
        <v>205.00000000000023</v>
      </c>
      <c r="AI40" s="21"/>
    </row>
    <row r="41" spans="1:35" s="18" customFormat="1" ht="15.75">
      <c r="A41" s="98" t="s">
        <v>5</v>
      </c>
      <c r="B41" s="97">
        <v>1297.1</v>
      </c>
      <c r="C41" s="97">
        <v>77.69999999999982</v>
      </c>
      <c r="D41" s="72"/>
      <c r="E41" s="72"/>
      <c r="F41" s="72"/>
      <c r="G41" s="72"/>
      <c r="H41" s="72"/>
      <c r="I41" s="72"/>
      <c r="J41" s="72"/>
      <c r="K41" s="72"/>
      <c r="L41" s="72">
        <v>377.1</v>
      </c>
      <c r="M41" s="72"/>
      <c r="N41" s="72"/>
      <c r="O41" s="72"/>
      <c r="P41" s="72"/>
      <c r="Q41" s="72"/>
      <c r="R41" s="72"/>
      <c r="S41" s="72"/>
      <c r="T41" s="72"/>
      <c r="U41" s="72">
        <v>896.5</v>
      </c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1273.6</v>
      </c>
      <c r="AG41" s="72">
        <f t="shared" si="8"/>
        <v>101.19999999999982</v>
      </c>
      <c r="AH41" s="21"/>
      <c r="AI41" s="21"/>
    </row>
    <row r="42" spans="1:35" s="18" customFormat="1" ht="15.75">
      <c r="A42" s="98" t="s">
        <v>3</v>
      </c>
      <c r="B42" s="97">
        <v>0.9</v>
      </c>
      <c r="C42" s="97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0.9</v>
      </c>
      <c r="AI42" s="21"/>
    </row>
    <row r="43" spans="1:35" s="18" customFormat="1" ht="15.75">
      <c r="A43" s="98" t="s">
        <v>1</v>
      </c>
      <c r="B43" s="97">
        <v>10.3</v>
      </c>
      <c r="C43" s="97">
        <v>2.5</v>
      </c>
      <c r="D43" s="72"/>
      <c r="E43" s="72"/>
      <c r="F43" s="72"/>
      <c r="G43" s="72"/>
      <c r="H43" s="72"/>
      <c r="I43" s="72"/>
      <c r="J43" s="72"/>
      <c r="K43" s="72"/>
      <c r="L43" s="72">
        <v>10.5</v>
      </c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10.5</v>
      </c>
      <c r="AG43" s="72">
        <f t="shared" si="8"/>
        <v>2.3000000000000007</v>
      </c>
      <c r="AI43" s="21"/>
    </row>
    <row r="44" spans="1:35" s="18" customFormat="1" ht="15.75">
      <c r="A44" s="98" t="s">
        <v>2</v>
      </c>
      <c r="B44" s="97">
        <v>197.3</v>
      </c>
      <c r="C44" s="97">
        <v>37.00000000000003</v>
      </c>
      <c r="D44" s="72"/>
      <c r="E44" s="72"/>
      <c r="F44" s="72"/>
      <c r="G44" s="72">
        <v>65.8</v>
      </c>
      <c r="H44" s="72"/>
      <c r="I44" s="72"/>
      <c r="J44" s="72">
        <v>15.4</v>
      </c>
      <c r="K44" s="72"/>
      <c r="L44" s="72">
        <v>2.2</v>
      </c>
      <c r="M44" s="72"/>
      <c r="N44" s="72"/>
      <c r="O44" s="72">
        <v>56.1</v>
      </c>
      <c r="P44" s="72"/>
      <c r="Q44" s="72"/>
      <c r="R44" s="72"/>
      <c r="S44" s="72"/>
      <c r="T44" s="72"/>
      <c r="U44" s="72">
        <v>2.7</v>
      </c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142.2</v>
      </c>
      <c r="AG44" s="72">
        <f t="shared" si="8"/>
        <v>92.10000000000005</v>
      </c>
      <c r="AI44" s="21"/>
    </row>
    <row r="45" spans="1:35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  <c r="AI45" s="21"/>
    </row>
    <row r="46" spans="1:35" s="18" customFormat="1" ht="15.75">
      <c r="A46" s="98" t="s">
        <v>23</v>
      </c>
      <c r="B46" s="97">
        <f aca="true" t="shared" si="9" ref="B46:AD46">B40-B41-B42-B43-B44-B45</f>
        <v>35.10000000000011</v>
      </c>
      <c r="C46" s="97">
        <v>4.600000000000108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5.5</v>
      </c>
      <c r="H46" s="72">
        <f t="shared" si="9"/>
        <v>0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0.49999999999998845</v>
      </c>
      <c r="M46" s="72">
        <f t="shared" si="9"/>
        <v>13.8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6.599999999999954</v>
      </c>
      <c r="V46" s="72">
        <f t="shared" si="9"/>
        <v>4.8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31.199999999999946</v>
      </c>
      <c r="AG46" s="72">
        <f>AG40-AG41-AG42-AG43-AG44-AG45</f>
        <v>8.500000000000355</v>
      </c>
      <c r="AI46" s="21"/>
    </row>
    <row r="47" spans="1:35" s="18" customFormat="1" ht="17.25" customHeight="1">
      <c r="A47" s="96" t="s">
        <v>43</v>
      </c>
      <c r="B47" s="99">
        <f>6488.7+7.6+1.8</f>
        <v>6498.1</v>
      </c>
      <c r="C47" s="97">
        <v>2565.699999999999</v>
      </c>
      <c r="D47" s="72"/>
      <c r="E47" s="80"/>
      <c r="F47" s="80"/>
      <c r="G47" s="80">
        <v>592.9</v>
      </c>
      <c r="H47" s="80">
        <v>250.5</v>
      </c>
      <c r="I47" s="80"/>
      <c r="J47" s="80">
        <v>1840.9</v>
      </c>
      <c r="K47" s="80">
        <v>85.5</v>
      </c>
      <c r="L47" s="80"/>
      <c r="M47" s="80"/>
      <c r="N47" s="80">
        <v>148.3</v>
      </c>
      <c r="O47" s="80">
        <v>534.2</v>
      </c>
      <c r="P47" s="80"/>
      <c r="Q47" s="80">
        <v>1861</v>
      </c>
      <c r="R47" s="80">
        <v>58.9</v>
      </c>
      <c r="S47" s="80"/>
      <c r="T47" s="80">
        <v>713.5</v>
      </c>
      <c r="U47" s="80">
        <v>44.9</v>
      </c>
      <c r="V47" s="80">
        <v>41.9</v>
      </c>
      <c r="W47" s="80">
        <v>28.7</v>
      </c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6201.199999999999</v>
      </c>
      <c r="AG47" s="72">
        <f>B47+C47-AF47</f>
        <v>2862.6000000000004</v>
      </c>
      <c r="AI47" s="21"/>
    </row>
    <row r="48" spans="1:35" s="18" customFormat="1" ht="15.75">
      <c r="A48" s="98" t="s">
        <v>5</v>
      </c>
      <c r="B48" s="97">
        <v>54.4</v>
      </c>
      <c r="C48" s="97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54.4</v>
      </c>
      <c r="AI48" s="21"/>
    </row>
    <row r="49" spans="1:35" s="18" customFormat="1" ht="15.75">
      <c r="A49" s="98" t="s">
        <v>16</v>
      </c>
      <c r="B49" s="97">
        <f>5747.4+7.6+220.3</f>
        <v>5975.3</v>
      </c>
      <c r="C49" s="97">
        <v>1525.8999999999996</v>
      </c>
      <c r="D49" s="72"/>
      <c r="E49" s="72"/>
      <c r="F49" s="72"/>
      <c r="G49" s="72">
        <v>582.9</v>
      </c>
      <c r="H49" s="72">
        <v>250.5</v>
      </c>
      <c r="I49" s="72"/>
      <c r="J49" s="72">
        <v>1833.3</v>
      </c>
      <c r="K49" s="72">
        <v>55</v>
      </c>
      <c r="L49" s="72"/>
      <c r="M49" s="72"/>
      <c r="N49" s="72">
        <v>120.2</v>
      </c>
      <c r="O49" s="72">
        <v>529.4</v>
      </c>
      <c r="P49" s="72"/>
      <c r="Q49" s="72">
        <v>1861</v>
      </c>
      <c r="R49" s="72">
        <v>47.8</v>
      </c>
      <c r="S49" s="72"/>
      <c r="T49" s="72">
        <v>713.5</v>
      </c>
      <c r="U49" s="72"/>
      <c r="V49" s="72">
        <f>35.2+1.8</f>
        <v>37</v>
      </c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6030.599999999999</v>
      </c>
      <c r="AG49" s="72">
        <f>B49+C49-AF49</f>
        <v>1470.6000000000004</v>
      </c>
      <c r="AI49" s="21"/>
    </row>
    <row r="50" spans="1:35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  <c r="AI50" s="21"/>
    </row>
    <row r="51" spans="1:35" s="18" customFormat="1" ht="15.75">
      <c r="A51" s="107" t="s">
        <v>23</v>
      </c>
      <c r="B51" s="97">
        <f aca="true" t="shared" si="10" ref="B51:AD51">B47-B48-B49</f>
        <v>468.40000000000055</v>
      </c>
      <c r="C51" s="97">
        <v>1039.7999999999993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10</v>
      </c>
      <c r="H51" s="72">
        <f t="shared" si="10"/>
        <v>0</v>
      </c>
      <c r="I51" s="72">
        <f t="shared" si="10"/>
        <v>0</v>
      </c>
      <c r="J51" s="72">
        <f t="shared" si="10"/>
        <v>7.600000000000136</v>
      </c>
      <c r="K51" s="72">
        <f t="shared" si="10"/>
        <v>30.5</v>
      </c>
      <c r="L51" s="72">
        <f t="shared" si="10"/>
        <v>0</v>
      </c>
      <c r="M51" s="72">
        <f t="shared" si="10"/>
        <v>0</v>
      </c>
      <c r="N51" s="72">
        <f t="shared" si="10"/>
        <v>28.10000000000001</v>
      </c>
      <c r="O51" s="72">
        <f t="shared" si="10"/>
        <v>4.800000000000068</v>
      </c>
      <c r="P51" s="72">
        <f t="shared" si="10"/>
        <v>0</v>
      </c>
      <c r="Q51" s="72">
        <f t="shared" si="10"/>
        <v>0</v>
      </c>
      <c r="R51" s="72">
        <f t="shared" si="10"/>
        <v>11.100000000000001</v>
      </c>
      <c r="S51" s="72">
        <f t="shared" si="10"/>
        <v>0</v>
      </c>
      <c r="T51" s="72">
        <f t="shared" si="10"/>
        <v>0</v>
      </c>
      <c r="U51" s="72">
        <f t="shared" si="10"/>
        <v>44.9</v>
      </c>
      <c r="V51" s="72">
        <f t="shared" si="10"/>
        <v>4.899999999999999</v>
      </c>
      <c r="W51" s="72">
        <f t="shared" si="10"/>
        <v>28.7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170.60000000000022</v>
      </c>
      <c r="AG51" s="72">
        <f>AG47-AG49-AG48</f>
        <v>1337.6</v>
      </c>
      <c r="AI51" s="21"/>
    </row>
    <row r="52" spans="1:35" s="18" customFormat="1" ht="15" customHeight="1">
      <c r="A52" s="96" t="s">
        <v>0</v>
      </c>
      <c r="B52" s="97">
        <f>9469.6-56.6+5204.9</f>
        <v>14617.9</v>
      </c>
      <c r="C52" s="97">
        <v>2815.9999999999995</v>
      </c>
      <c r="D52" s="72"/>
      <c r="E52" s="72"/>
      <c r="F52" s="72"/>
      <c r="G52" s="72">
        <v>121.6</v>
      </c>
      <c r="H52" s="72">
        <v>525.1</v>
      </c>
      <c r="I52" s="72"/>
      <c r="J52" s="72">
        <v>495.6</v>
      </c>
      <c r="K52" s="72">
        <v>452.5</v>
      </c>
      <c r="L52" s="72">
        <v>67.7</v>
      </c>
      <c r="M52" s="72">
        <v>766.7</v>
      </c>
      <c r="N52" s="72">
        <v>27.8</v>
      </c>
      <c r="O52" s="72">
        <v>2611.4</v>
      </c>
      <c r="P52" s="72"/>
      <c r="Q52" s="72">
        <v>110.1</v>
      </c>
      <c r="R52" s="72">
        <v>3.8</v>
      </c>
      <c r="S52" s="72">
        <v>3.3</v>
      </c>
      <c r="T52" s="72">
        <v>441.8</v>
      </c>
      <c r="U52" s="72">
        <v>656.5</v>
      </c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6283.9000000000015</v>
      </c>
      <c r="AG52" s="72">
        <f aca="true" t="shared" si="11" ref="AG52:AG59">B52+C52-AF52</f>
        <v>11149.999999999996</v>
      </c>
      <c r="AI52" s="21"/>
    </row>
    <row r="53" spans="1:35" s="18" customFormat="1" ht="15" customHeight="1">
      <c r="A53" s="98" t="s">
        <v>2</v>
      </c>
      <c r="B53" s="97">
        <f>1894.6+200</f>
        <v>2094.6</v>
      </c>
      <c r="C53" s="97">
        <v>1418</v>
      </c>
      <c r="D53" s="72"/>
      <c r="E53" s="72"/>
      <c r="F53" s="72"/>
      <c r="G53" s="72">
        <v>1.6</v>
      </c>
      <c r="H53" s="72"/>
      <c r="I53" s="72"/>
      <c r="J53" s="72"/>
      <c r="K53" s="72"/>
      <c r="L53" s="72"/>
      <c r="M53" s="72"/>
      <c r="N53" s="72"/>
      <c r="O53" s="72">
        <v>2603.8</v>
      </c>
      <c r="P53" s="72"/>
      <c r="Q53" s="72"/>
      <c r="R53" s="72">
        <v>3.8</v>
      </c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2609.2000000000003</v>
      </c>
      <c r="AG53" s="72">
        <f t="shared" si="11"/>
        <v>903.3999999999996</v>
      </c>
      <c r="AI53" s="21"/>
    </row>
    <row r="54" spans="1:35" s="18" customFormat="1" ht="15" customHeight="1">
      <c r="A54" s="96" t="s">
        <v>9</v>
      </c>
      <c r="B54" s="105">
        <v>2665</v>
      </c>
      <c r="C54" s="97">
        <v>732.3000000000002</v>
      </c>
      <c r="D54" s="72"/>
      <c r="E54" s="72"/>
      <c r="F54" s="72"/>
      <c r="G54" s="72">
        <v>111.5</v>
      </c>
      <c r="H54" s="72"/>
      <c r="I54" s="72"/>
      <c r="J54" s="72">
        <v>189.8</v>
      </c>
      <c r="K54" s="72">
        <v>1.9</v>
      </c>
      <c r="L54" s="72">
        <v>691.5</v>
      </c>
      <c r="M54" s="72">
        <v>343.2</v>
      </c>
      <c r="N54" s="72">
        <v>7.5</v>
      </c>
      <c r="O54" s="72">
        <v>137</v>
      </c>
      <c r="P54" s="72"/>
      <c r="Q54" s="72">
        <v>2.4</v>
      </c>
      <c r="R54" s="72">
        <v>142.9</v>
      </c>
      <c r="S54" s="72">
        <v>7.4</v>
      </c>
      <c r="T54" s="72"/>
      <c r="U54" s="72">
        <v>11.4</v>
      </c>
      <c r="V54" s="72">
        <v>645.7</v>
      </c>
      <c r="W54" s="72">
        <v>261.3</v>
      </c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2553.500000000001</v>
      </c>
      <c r="AG54" s="72">
        <f t="shared" si="11"/>
        <v>843.7999999999993</v>
      </c>
      <c r="AH54" s="21"/>
      <c r="AI54" s="21"/>
    </row>
    <row r="55" spans="1:35" s="18" customFormat="1" ht="15.75">
      <c r="A55" s="98" t="s">
        <v>5</v>
      </c>
      <c r="B55" s="97">
        <v>1185</v>
      </c>
      <c r="C55" s="97">
        <v>185.39999999999986</v>
      </c>
      <c r="D55" s="72"/>
      <c r="E55" s="72"/>
      <c r="F55" s="72"/>
      <c r="G55" s="72"/>
      <c r="H55" s="72"/>
      <c r="I55" s="72"/>
      <c r="J55" s="72"/>
      <c r="K55" s="72"/>
      <c r="L55" s="72">
        <v>494.6</v>
      </c>
      <c r="M55" s="72"/>
      <c r="N55" s="72"/>
      <c r="O55" s="72"/>
      <c r="P55" s="72"/>
      <c r="Q55" s="72"/>
      <c r="R55" s="72"/>
      <c r="S55" s="72"/>
      <c r="T55" s="72"/>
      <c r="U55" s="72">
        <v>11.4</v>
      </c>
      <c r="V55" s="72">
        <v>607.6</v>
      </c>
      <c r="W55" s="72">
        <v>26.4</v>
      </c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1140</v>
      </c>
      <c r="AG55" s="72">
        <f t="shared" si="11"/>
        <v>230.39999999999986</v>
      </c>
      <c r="AH55" s="21"/>
      <c r="AI55" s="21"/>
    </row>
    <row r="56" spans="1:35" s="18" customFormat="1" ht="15" customHeight="1">
      <c r="A56" s="98" t="s">
        <v>1</v>
      </c>
      <c r="B56" s="97">
        <v>7.5</v>
      </c>
      <c r="C56" s="97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>
        <v>7.5</v>
      </c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7.5</v>
      </c>
      <c r="AG56" s="72">
        <f t="shared" si="11"/>
        <v>0</v>
      </c>
      <c r="AH56" s="21"/>
      <c r="AI56" s="21"/>
    </row>
    <row r="57" spans="1:35" s="18" customFormat="1" ht="15.75">
      <c r="A57" s="98" t="s">
        <v>2</v>
      </c>
      <c r="B57" s="99">
        <v>384.6</v>
      </c>
      <c r="C57" s="97">
        <v>199.59999999999997</v>
      </c>
      <c r="D57" s="72"/>
      <c r="E57" s="72"/>
      <c r="F57" s="72"/>
      <c r="G57" s="72"/>
      <c r="H57" s="72"/>
      <c r="I57" s="72"/>
      <c r="J57" s="72"/>
      <c r="K57" s="72"/>
      <c r="L57" s="72">
        <v>98.5</v>
      </c>
      <c r="M57" s="72"/>
      <c r="N57" s="72"/>
      <c r="O57" s="72"/>
      <c r="P57" s="72"/>
      <c r="Q57" s="72"/>
      <c r="R57" s="72">
        <v>76.9</v>
      </c>
      <c r="S57" s="72">
        <v>0.5</v>
      </c>
      <c r="T57" s="72"/>
      <c r="U57" s="72"/>
      <c r="V57" s="72"/>
      <c r="W57" s="72">
        <v>2.2</v>
      </c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178.1</v>
      </c>
      <c r="AG57" s="72">
        <f t="shared" si="11"/>
        <v>406.1</v>
      </c>
      <c r="AI57" s="21"/>
    </row>
    <row r="58" spans="1:35" s="18" customFormat="1" ht="15.75">
      <c r="A58" s="98" t="s">
        <v>16</v>
      </c>
      <c r="B58" s="99">
        <f>17+8.7</f>
        <v>25.7</v>
      </c>
      <c r="C58" s="97">
        <v>28.9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>
        <v>45.9</v>
      </c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45.9</v>
      </c>
      <c r="AG58" s="72">
        <f t="shared" si="11"/>
        <v>8.699999999999996</v>
      </c>
      <c r="AI58" s="21"/>
    </row>
    <row r="59" spans="1:35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  <c r="AI59" s="21"/>
    </row>
    <row r="60" spans="1:35" s="18" customFormat="1" ht="15.75">
      <c r="A60" s="98" t="s">
        <v>23</v>
      </c>
      <c r="B60" s="97">
        <f aca="true" t="shared" si="12" ref="B60:AD60">B54-B55-B57-B59-B56-B58</f>
        <v>1062.2</v>
      </c>
      <c r="C60" s="97">
        <v>318.4000000000004</v>
      </c>
      <c r="D60" s="72">
        <f t="shared" si="12"/>
        <v>0</v>
      </c>
      <c r="E60" s="72">
        <f t="shared" si="12"/>
        <v>0</v>
      </c>
      <c r="F60" s="72">
        <f t="shared" si="12"/>
        <v>0</v>
      </c>
      <c r="G60" s="72">
        <f t="shared" si="12"/>
        <v>111.5</v>
      </c>
      <c r="H60" s="72">
        <f t="shared" si="12"/>
        <v>0</v>
      </c>
      <c r="I60" s="72">
        <f t="shared" si="12"/>
        <v>0</v>
      </c>
      <c r="J60" s="72">
        <f t="shared" si="12"/>
        <v>189.8</v>
      </c>
      <c r="K60" s="72">
        <f t="shared" si="12"/>
        <v>1.9</v>
      </c>
      <c r="L60" s="72">
        <f t="shared" si="12"/>
        <v>98.39999999999998</v>
      </c>
      <c r="M60" s="72">
        <f t="shared" si="12"/>
        <v>343.2</v>
      </c>
      <c r="N60" s="72">
        <f t="shared" si="12"/>
        <v>0</v>
      </c>
      <c r="O60" s="72">
        <f t="shared" si="12"/>
        <v>137</v>
      </c>
      <c r="P60" s="72">
        <f t="shared" si="12"/>
        <v>0</v>
      </c>
      <c r="Q60" s="72">
        <f t="shared" si="12"/>
        <v>2.4</v>
      </c>
      <c r="R60" s="72">
        <f t="shared" si="12"/>
        <v>20.1</v>
      </c>
      <c r="S60" s="72">
        <f t="shared" si="12"/>
        <v>6.9</v>
      </c>
      <c r="T60" s="72">
        <f t="shared" si="12"/>
        <v>0</v>
      </c>
      <c r="U60" s="72">
        <f t="shared" si="12"/>
        <v>0</v>
      </c>
      <c r="V60" s="72">
        <f t="shared" si="12"/>
        <v>38.10000000000002</v>
      </c>
      <c r="W60" s="72">
        <f t="shared" si="12"/>
        <v>232.70000000000002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1182.000000000001</v>
      </c>
      <c r="AG60" s="72">
        <f>AG54-AG55-AG57-AG59-AG56-AG58</f>
        <v>198.5999999999994</v>
      </c>
      <c r="AI60" s="21"/>
    </row>
    <row r="61" spans="1:35" s="18" customFormat="1" ht="15" customHeight="1">
      <c r="A61" s="96" t="s">
        <v>10</v>
      </c>
      <c r="B61" s="97">
        <f>92+25</f>
        <v>117</v>
      </c>
      <c r="C61" s="97">
        <v>14.400000000000006</v>
      </c>
      <c r="D61" s="72"/>
      <c r="E61" s="72"/>
      <c r="F61" s="72"/>
      <c r="G61" s="72"/>
      <c r="H61" s="72">
        <v>25.1</v>
      </c>
      <c r="I61" s="72"/>
      <c r="J61" s="72"/>
      <c r="K61" s="72"/>
      <c r="L61" s="72">
        <v>13.5</v>
      </c>
      <c r="M61" s="72"/>
      <c r="N61" s="72"/>
      <c r="O61" s="72"/>
      <c r="P61" s="72"/>
      <c r="Q61" s="72">
        <v>2.2</v>
      </c>
      <c r="R61" s="72"/>
      <c r="S61" s="72">
        <v>2</v>
      </c>
      <c r="T61" s="72">
        <v>16.6</v>
      </c>
      <c r="U61" s="72">
        <v>22.9</v>
      </c>
      <c r="V61" s="72">
        <v>12</v>
      </c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94.30000000000001</v>
      </c>
      <c r="AG61" s="72">
        <f aca="true" t="shared" si="14" ref="AG61:AG67">B61+C61-AF61</f>
        <v>37.099999999999994</v>
      </c>
      <c r="AI61" s="21"/>
    </row>
    <row r="62" spans="1:35" s="18" customFormat="1" ht="15" customHeight="1">
      <c r="A62" s="96" t="s">
        <v>11</v>
      </c>
      <c r="B62" s="97">
        <v>5551.1</v>
      </c>
      <c r="C62" s="97">
        <v>2119.7999999999997</v>
      </c>
      <c r="D62" s="72"/>
      <c r="E62" s="72"/>
      <c r="F62" s="72"/>
      <c r="G62" s="72">
        <v>70.2</v>
      </c>
      <c r="H62" s="72">
        <v>233.5</v>
      </c>
      <c r="I62" s="72"/>
      <c r="J62" s="72"/>
      <c r="K62" s="72">
        <v>966</v>
      </c>
      <c r="L62" s="72">
        <v>52.6</v>
      </c>
      <c r="M62" s="72">
        <v>123</v>
      </c>
      <c r="N62" s="72">
        <v>9.9</v>
      </c>
      <c r="O62" s="72"/>
      <c r="P62" s="72"/>
      <c r="Q62" s="72">
        <v>532.3</v>
      </c>
      <c r="R62" s="72">
        <v>8.3</v>
      </c>
      <c r="S62" s="72"/>
      <c r="T62" s="72">
        <v>75.6</v>
      </c>
      <c r="U62" s="72">
        <v>313.4</v>
      </c>
      <c r="V62" s="72">
        <v>1771.2</v>
      </c>
      <c r="W62" s="72">
        <v>5.9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4161.9</v>
      </c>
      <c r="AG62" s="72">
        <f t="shared" si="14"/>
        <v>3509</v>
      </c>
      <c r="AI62" s="21"/>
    </row>
    <row r="63" spans="1:35" s="18" customFormat="1" ht="15.75">
      <c r="A63" s="98" t="s">
        <v>5</v>
      </c>
      <c r="B63" s="97">
        <v>2447.4</v>
      </c>
      <c r="C63" s="97">
        <v>336.7000000000003</v>
      </c>
      <c r="D63" s="72"/>
      <c r="E63" s="72"/>
      <c r="F63" s="72"/>
      <c r="G63" s="72"/>
      <c r="H63" s="72"/>
      <c r="I63" s="72"/>
      <c r="J63" s="72"/>
      <c r="K63" s="72">
        <v>792.3</v>
      </c>
      <c r="L63" s="72"/>
      <c r="M63" s="72"/>
      <c r="N63" s="72">
        <v>9.9</v>
      </c>
      <c r="O63" s="72"/>
      <c r="P63" s="72"/>
      <c r="Q63" s="72"/>
      <c r="R63" s="72"/>
      <c r="S63" s="72"/>
      <c r="T63" s="72"/>
      <c r="U63" s="72">
        <v>66.7</v>
      </c>
      <c r="V63" s="72">
        <v>1210.9</v>
      </c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2079.8</v>
      </c>
      <c r="AG63" s="72">
        <f t="shared" si="14"/>
        <v>704.3000000000002</v>
      </c>
      <c r="AH63" s="114"/>
      <c r="AI63" s="21"/>
    </row>
    <row r="64" spans="1:35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  <c r="AI64" s="21"/>
    </row>
    <row r="65" spans="1:35" s="18" customFormat="1" ht="15.75">
      <c r="A65" s="98" t="s">
        <v>1</v>
      </c>
      <c r="B65" s="97">
        <v>535.2</v>
      </c>
      <c r="C65" s="97">
        <v>329.5</v>
      </c>
      <c r="D65" s="72"/>
      <c r="E65" s="72"/>
      <c r="F65" s="72"/>
      <c r="G65" s="72">
        <v>6.6</v>
      </c>
      <c r="H65" s="72"/>
      <c r="I65" s="72"/>
      <c r="J65" s="72"/>
      <c r="K65" s="72">
        <v>70.1</v>
      </c>
      <c r="L65" s="72"/>
      <c r="M65" s="72"/>
      <c r="N65" s="72"/>
      <c r="O65" s="72"/>
      <c r="P65" s="72"/>
      <c r="Q65" s="72">
        <v>102.1</v>
      </c>
      <c r="R65" s="72">
        <v>3.2</v>
      </c>
      <c r="S65" s="72"/>
      <c r="T65" s="72"/>
      <c r="U65" s="72"/>
      <c r="V65" s="72">
        <v>185.8</v>
      </c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367.79999999999995</v>
      </c>
      <c r="AG65" s="72">
        <f t="shared" si="14"/>
        <v>496.9000000000001</v>
      </c>
      <c r="AH65" s="21"/>
      <c r="AI65" s="21"/>
    </row>
    <row r="66" spans="1:35" s="18" customFormat="1" ht="15.75">
      <c r="A66" s="98" t="s">
        <v>2</v>
      </c>
      <c r="B66" s="97">
        <v>211.3</v>
      </c>
      <c r="C66" s="97">
        <v>217.29999999999998</v>
      </c>
      <c r="D66" s="72"/>
      <c r="E66" s="72"/>
      <c r="F66" s="72"/>
      <c r="G66" s="72">
        <v>2.4</v>
      </c>
      <c r="H66" s="72"/>
      <c r="I66" s="72"/>
      <c r="J66" s="72"/>
      <c r="K66" s="72">
        <v>14.5</v>
      </c>
      <c r="L66" s="72"/>
      <c r="M66" s="72"/>
      <c r="N66" s="72"/>
      <c r="O66" s="72"/>
      <c r="P66" s="72"/>
      <c r="Q66" s="72">
        <v>23</v>
      </c>
      <c r="R66" s="72"/>
      <c r="S66" s="72"/>
      <c r="T66" s="72"/>
      <c r="U66" s="72"/>
      <c r="V66" s="72">
        <v>268</v>
      </c>
      <c r="W66" s="72">
        <v>5.9</v>
      </c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313.79999999999995</v>
      </c>
      <c r="AG66" s="72">
        <f t="shared" si="14"/>
        <v>114.80000000000007</v>
      </c>
      <c r="AI66" s="21"/>
    </row>
    <row r="67" spans="1:35" s="18" customFormat="1" ht="15.75">
      <c r="A67" s="98" t="s">
        <v>16</v>
      </c>
      <c r="B67" s="97">
        <v>326</v>
      </c>
      <c r="C67" s="97">
        <v>353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>
        <v>242</v>
      </c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242</v>
      </c>
      <c r="AG67" s="72">
        <f t="shared" si="14"/>
        <v>437</v>
      </c>
      <c r="AI67" s="21"/>
    </row>
    <row r="68" spans="1:35" s="18" customFormat="1" ht="15.75">
      <c r="A68" s="98" t="s">
        <v>23</v>
      </c>
      <c r="B68" s="97">
        <f aca="true" t="shared" si="15" ref="B68:AD68">B62-B63-B66-B67-B65-B64</f>
        <v>2031.2</v>
      </c>
      <c r="C68" s="97">
        <v>883.2999999999995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61.199999999999996</v>
      </c>
      <c r="H68" s="72">
        <f t="shared" si="15"/>
        <v>233.5</v>
      </c>
      <c r="I68" s="72">
        <f t="shared" si="15"/>
        <v>0</v>
      </c>
      <c r="J68" s="72">
        <f t="shared" si="15"/>
        <v>0</v>
      </c>
      <c r="K68" s="72">
        <f t="shared" si="15"/>
        <v>89.10000000000005</v>
      </c>
      <c r="L68" s="72">
        <f t="shared" si="15"/>
        <v>52.6</v>
      </c>
      <c r="M68" s="72">
        <f t="shared" si="15"/>
        <v>123</v>
      </c>
      <c r="N68" s="72">
        <f t="shared" si="15"/>
        <v>0</v>
      </c>
      <c r="O68" s="72">
        <f t="shared" si="15"/>
        <v>0</v>
      </c>
      <c r="P68" s="72">
        <f t="shared" si="15"/>
        <v>0</v>
      </c>
      <c r="Q68" s="72">
        <f t="shared" si="15"/>
        <v>165.19999999999996</v>
      </c>
      <c r="R68" s="72">
        <f t="shared" si="15"/>
        <v>5.1000000000000005</v>
      </c>
      <c r="S68" s="72">
        <f t="shared" si="15"/>
        <v>0</v>
      </c>
      <c r="T68" s="72">
        <f t="shared" si="15"/>
        <v>75.6</v>
      </c>
      <c r="U68" s="72">
        <f t="shared" si="15"/>
        <v>246.7</v>
      </c>
      <c r="V68" s="72">
        <f t="shared" si="15"/>
        <v>106.49999999999994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1158.5</v>
      </c>
      <c r="AG68" s="72">
        <f>AG62-AG63-AG66-AG67-AG65-AG64</f>
        <v>1755.9999999999995</v>
      </c>
      <c r="AI68" s="21"/>
    </row>
    <row r="69" spans="1:35" s="18" customFormat="1" ht="31.5">
      <c r="A69" s="96" t="s">
        <v>45</v>
      </c>
      <c r="B69" s="97">
        <f>2033.6+50</f>
        <v>2083.6</v>
      </c>
      <c r="C69" s="97">
        <v>18.300000000000182</v>
      </c>
      <c r="D69" s="72"/>
      <c r="E69" s="72"/>
      <c r="F69" s="72"/>
      <c r="G69" s="72"/>
      <c r="H69" s="72"/>
      <c r="I69" s="72"/>
      <c r="J69" s="72"/>
      <c r="K69" s="72"/>
      <c r="L69" s="72"/>
      <c r="M69" s="72">
        <v>879.7</v>
      </c>
      <c r="N69" s="72"/>
      <c r="O69" s="72"/>
      <c r="P69" s="72">
        <v>893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>
        <f t="shared" si="13"/>
        <v>1772.7</v>
      </c>
      <c r="AG69" s="89">
        <f aca="true" t="shared" si="16" ref="AG69:AG92">B69+C69-AF69</f>
        <v>329.20000000000005</v>
      </c>
      <c r="AI69" s="21"/>
    </row>
    <row r="70" spans="1:35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>
        <f t="shared" si="13"/>
        <v>0</v>
      </c>
      <c r="AG70" s="89">
        <f t="shared" si="16"/>
        <v>0</v>
      </c>
      <c r="AI70" s="21"/>
    </row>
    <row r="71" spans="1:50" s="18" customFormat="1" ht="31.5">
      <c r="A71" s="96" t="s">
        <v>46</v>
      </c>
      <c r="B71" s="97">
        <f>1303+42.6</f>
        <v>1345.6</v>
      </c>
      <c r="C71" s="109">
        <v>1399.4</v>
      </c>
      <c r="D71" s="80"/>
      <c r="E71" s="80">
        <v>469.6</v>
      </c>
      <c r="F71" s="80"/>
      <c r="G71" s="80"/>
      <c r="H71" s="80">
        <v>898.6</v>
      </c>
      <c r="I71" s="80"/>
      <c r="J71" s="80"/>
      <c r="K71" s="80"/>
      <c r="L71" s="80"/>
      <c r="M71" s="80">
        <v>871.8</v>
      </c>
      <c r="N71" s="80"/>
      <c r="O71" s="80"/>
      <c r="P71" s="80"/>
      <c r="Q71" s="80"/>
      <c r="R71" s="80">
        <v>55</v>
      </c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72">
        <f t="shared" si="13"/>
        <v>2295</v>
      </c>
      <c r="AG71" s="89">
        <f t="shared" si="16"/>
        <v>450</v>
      </c>
      <c r="AH71" s="110"/>
      <c r="AI71" s="21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</row>
    <row r="72" spans="1:35" s="18" customFormat="1" ht="15" customHeight="1">
      <c r="A72" s="96" t="s">
        <v>47</v>
      </c>
      <c r="B72" s="105">
        <f>1968.1+10-65.8</f>
        <v>1912.3</v>
      </c>
      <c r="C72" s="97">
        <v>1395.4999999999998</v>
      </c>
      <c r="D72" s="72"/>
      <c r="E72" s="72">
        <v>53.3</v>
      </c>
      <c r="F72" s="72">
        <v>109</v>
      </c>
      <c r="G72" s="72">
        <v>1.4</v>
      </c>
      <c r="H72" s="72">
        <f>1024.1-879.7</f>
        <v>144.39999999999986</v>
      </c>
      <c r="I72" s="72"/>
      <c r="J72" s="72">
        <v>19.8</v>
      </c>
      <c r="K72" s="72">
        <v>10</v>
      </c>
      <c r="L72" s="72">
        <v>115.6</v>
      </c>
      <c r="M72" s="72">
        <v>53.3</v>
      </c>
      <c r="N72" s="72">
        <v>13.7</v>
      </c>
      <c r="O72" s="72">
        <v>22.1</v>
      </c>
      <c r="P72" s="72">
        <v>4.9</v>
      </c>
      <c r="Q72" s="72"/>
      <c r="R72" s="72">
        <v>9</v>
      </c>
      <c r="S72" s="72">
        <v>3.6</v>
      </c>
      <c r="T72" s="72">
        <v>409.7</v>
      </c>
      <c r="U72" s="72">
        <f>170.4-140.9</f>
        <v>29.5</v>
      </c>
      <c r="V72" s="72">
        <v>95.2</v>
      </c>
      <c r="W72" s="72"/>
      <c r="X72" s="72"/>
      <c r="Y72" s="72"/>
      <c r="Z72" s="72"/>
      <c r="AA72" s="72"/>
      <c r="AB72" s="72"/>
      <c r="AC72" s="72"/>
      <c r="AD72" s="72"/>
      <c r="AE72" s="72"/>
      <c r="AF72" s="72">
        <f t="shared" si="13"/>
        <v>1094.5</v>
      </c>
      <c r="AG72" s="89">
        <f t="shared" si="16"/>
        <v>2213.2999999999997</v>
      </c>
      <c r="AI72" s="21"/>
    </row>
    <row r="73" spans="1:35" s="18" customFormat="1" ht="15" customHeight="1">
      <c r="A73" s="98" t="s">
        <v>5</v>
      </c>
      <c r="B73" s="97">
        <v>80.5</v>
      </c>
      <c r="C73" s="97">
        <v>0.09999999999999432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>
        <v>80.5</v>
      </c>
      <c r="W73" s="72"/>
      <c r="X73" s="72"/>
      <c r="Y73" s="72"/>
      <c r="Z73" s="72"/>
      <c r="AA73" s="72"/>
      <c r="AB73" s="72"/>
      <c r="AC73" s="72"/>
      <c r="AD73" s="72"/>
      <c r="AE73" s="72"/>
      <c r="AF73" s="72">
        <f t="shared" si="13"/>
        <v>80.5</v>
      </c>
      <c r="AG73" s="89">
        <f t="shared" si="16"/>
        <v>0.09999999999999432</v>
      </c>
      <c r="AI73" s="21"/>
    </row>
    <row r="74" spans="1:35" s="18" customFormat="1" ht="15" customHeight="1">
      <c r="A74" s="98" t="s">
        <v>2</v>
      </c>
      <c r="B74" s="97">
        <f>323.4+55</f>
        <v>378.4</v>
      </c>
      <c r="C74" s="97">
        <v>191.0999999999999</v>
      </c>
      <c r="D74" s="72"/>
      <c r="E74" s="72">
        <v>53.3</v>
      </c>
      <c r="F74" s="72">
        <v>1.8</v>
      </c>
      <c r="G74" s="72">
        <v>1.1</v>
      </c>
      <c r="H74" s="72">
        <v>124.9</v>
      </c>
      <c r="I74" s="72"/>
      <c r="J74" s="72"/>
      <c r="K74" s="72"/>
      <c r="L74" s="72">
        <f>24.9+29.8</f>
        <v>54.7</v>
      </c>
      <c r="M74" s="72"/>
      <c r="N74" s="72"/>
      <c r="O74" s="72">
        <v>0.5</v>
      </c>
      <c r="P74" s="72">
        <v>0.6</v>
      </c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>
        <f t="shared" si="13"/>
        <v>236.9</v>
      </c>
      <c r="AG74" s="89">
        <f t="shared" si="16"/>
        <v>332.5999999999999</v>
      </c>
      <c r="AI74" s="21"/>
    </row>
    <row r="75" spans="1:35" s="18" customFormat="1" ht="15" customHeight="1">
      <c r="A75" s="98" t="s">
        <v>16</v>
      </c>
      <c r="B75" s="97">
        <f>10+11.6</f>
        <v>21.6</v>
      </c>
      <c r="C75" s="97">
        <v>3.8999999999999986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>
        <v>7.7</v>
      </c>
      <c r="W75" s="72"/>
      <c r="X75" s="72"/>
      <c r="Y75" s="72"/>
      <c r="Z75" s="72"/>
      <c r="AA75" s="72"/>
      <c r="AB75" s="72"/>
      <c r="AC75" s="72"/>
      <c r="AD75" s="72"/>
      <c r="AE75" s="72"/>
      <c r="AF75" s="72">
        <f t="shared" si="13"/>
        <v>7.7</v>
      </c>
      <c r="AG75" s="89">
        <f t="shared" si="16"/>
        <v>17.8</v>
      </c>
      <c r="AI75" s="21"/>
    </row>
    <row r="76" spans="1:35" s="112" customFormat="1" ht="15.75">
      <c r="A76" s="111" t="s">
        <v>48</v>
      </c>
      <c r="B76" s="97">
        <v>198.7</v>
      </c>
      <c r="C76" s="97">
        <v>49.20000000000002</v>
      </c>
      <c r="D76" s="72"/>
      <c r="E76" s="80"/>
      <c r="F76" s="80"/>
      <c r="G76" s="80"/>
      <c r="H76" s="80"/>
      <c r="I76" s="80"/>
      <c r="J76" s="80"/>
      <c r="K76" s="80">
        <v>76.4</v>
      </c>
      <c r="L76" s="80"/>
      <c r="M76" s="80"/>
      <c r="N76" s="80"/>
      <c r="O76" s="80"/>
      <c r="P76" s="80"/>
      <c r="Q76" s="80"/>
      <c r="R76" s="80"/>
      <c r="S76" s="80"/>
      <c r="T76" s="80"/>
      <c r="U76" s="80">
        <v>140.9</v>
      </c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72">
        <f t="shared" si="13"/>
        <v>217.3</v>
      </c>
      <c r="AG76" s="89">
        <f t="shared" si="16"/>
        <v>30.599999999999994</v>
      </c>
      <c r="AI76" s="21"/>
    </row>
    <row r="77" spans="1:35" s="112" customFormat="1" ht="15.75">
      <c r="A77" s="98" t="s">
        <v>5</v>
      </c>
      <c r="B77" s="97">
        <v>136.2</v>
      </c>
      <c r="C77" s="97">
        <v>8.800000000000011</v>
      </c>
      <c r="D77" s="72"/>
      <c r="E77" s="80"/>
      <c r="F77" s="80"/>
      <c r="G77" s="80"/>
      <c r="H77" s="80"/>
      <c r="I77" s="80"/>
      <c r="J77" s="80"/>
      <c r="K77" s="80">
        <v>59</v>
      </c>
      <c r="L77" s="80"/>
      <c r="M77" s="80"/>
      <c r="N77" s="80"/>
      <c r="O77" s="80"/>
      <c r="P77" s="80"/>
      <c r="Q77" s="80"/>
      <c r="R77" s="80"/>
      <c r="S77" s="80"/>
      <c r="T77" s="80"/>
      <c r="U77" s="80">
        <v>82.2</v>
      </c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72">
        <f t="shared" si="13"/>
        <v>141.2</v>
      </c>
      <c r="AG77" s="89">
        <f t="shared" si="16"/>
        <v>3.8000000000000114</v>
      </c>
      <c r="AI77" s="21"/>
    </row>
    <row r="78" spans="1:35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72">
        <f t="shared" si="13"/>
        <v>0</v>
      </c>
      <c r="AG78" s="89">
        <f t="shared" si="16"/>
        <v>0</v>
      </c>
      <c r="AI78" s="21"/>
    </row>
    <row r="79" spans="1:35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72">
        <f t="shared" si="13"/>
        <v>0</v>
      </c>
      <c r="AG79" s="89">
        <f t="shared" si="16"/>
        <v>0</v>
      </c>
      <c r="AI79" s="21"/>
    </row>
    <row r="80" spans="1:35" s="112" customFormat="1" ht="15.75">
      <c r="A80" s="98" t="s">
        <v>2</v>
      </c>
      <c r="B80" s="97">
        <v>7.5</v>
      </c>
      <c r="C80" s="97">
        <v>8.400000000000002</v>
      </c>
      <c r="D80" s="72"/>
      <c r="E80" s="80"/>
      <c r="F80" s="80"/>
      <c r="G80" s="80"/>
      <c r="H80" s="80"/>
      <c r="I80" s="80"/>
      <c r="J80" s="80"/>
      <c r="K80" s="80">
        <v>7.4</v>
      </c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72">
        <f t="shared" si="13"/>
        <v>7.4</v>
      </c>
      <c r="AG80" s="89">
        <f t="shared" si="16"/>
        <v>8.500000000000002</v>
      </c>
      <c r="AI80" s="21"/>
    </row>
    <row r="81" spans="1:35" s="112" customFormat="1" ht="15.75">
      <c r="A81" s="111" t="s">
        <v>49</v>
      </c>
      <c r="B81" s="97">
        <v>29.5</v>
      </c>
      <c r="C81" s="109">
        <v>0</v>
      </c>
      <c r="D81" s="80"/>
      <c r="E81" s="80"/>
      <c r="F81" s="80"/>
      <c r="G81" s="80"/>
      <c r="H81" s="80"/>
      <c r="I81" s="80"/>
      <c r="J81" s="80"/>
      <c r="K81" s="80">
        <v>29.5</v>
      </c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72">
        <f t="shared" si="13"/>
        <v>29.5</v>
      </c>
      <c r="AG81" s="89">
        <f t="shared" si="16"/>
        <v>0</v>
      </c>
      <c r="AI81" s="21"/>
    </row>
    <row r="82" spans="1:35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72">
        <f t="shared" si="13"/>
        <v>0</v>
      </c>
      <c r="AG82" s="89">
        <f t="shared" si="16"/>
        <v>0</v>
      </c>
      <c r="AI82" s="21"/>
    </row>
    <row r="83" spans="1:35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72">
        <f t="shared" si="13"/>
        <v>0</v>
      </c>
      <c r="AG83" s="72">
        <f t="shared" si="16"/>
        <v>0</v>
      </c>
      <c r="AI83" s="21"/>
    </row>
    <row r="84" spans="1:35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72">
        <f t="shared" si="13"/>
        <v>0</v>
      </c>
      <c r="AG84" s="72">
        <f t="shared" si="16"/>
        <v>0</v>
      </c>
      <c r="AI84" s="21"/>
    </row>
    <row r="85" spans="1:35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72">
        <f t="shared" si="13"/>
        <v>0</v>
      </c>
      <c r="AG85" s="72">
        <f t="shared" si="16"/>
        <v>0</v>
      </c>
      <c r="AI85" s="21"/>
    </row>
    <row r="86" spans="1:35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72">
        <f t="shared" si="13"/>
        <v>0</v>
      </c>
      <c r="AG86" s="72">
        <f t="shared" si="16"/>
        <v>0</v>
      </c>
      <c r="AI86" s="21"/>
    </row>
    <row r="87" spans="1:35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72">
        <f t="shared" si="13"/>
        <v>0</v>
      </c>
      <c r="AG87" s="72">
        <f t="shared" si="16"/>
        <v>0</v>
      </c>
      <c r="AI87" s="21"/>
    </row>
    <row r="88" spans="1:35" s="18" customFormat="1" ht="15.75" hidden="1">
      <c r="A88" s="96" t="s">
        <v>44</v>
      </c>
      <c r="B88" s="97"/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>
        <f t="shared" si="13"/>
        <v>0</v>
      </c>
      <c r="AG88" s="72">
        <f t="shared" si="16"/>
        <v>0</v>
      </c>
      <c r="AH88" s="112"/>
      <c r="AI88" s="21"/>
    </row>
    <row r="89" spans="1:35" s="18" customFormat="1" ht="15.75">
      <c r="A89" s="96" t="s">
        <v>50</v>
      </c>
      <c r="B89" s="97">
        <v>7924.8</v>
      </c>
      <c r="C89" s="97">
        <v>2149.6000000000004</v>
      </c>
      <c r="D89" s="72"/>
      <c r="E89" s="72"/>
      <c r="F89" s="72"/>
      <c r="G89" s="72">
        <v>1136.8</v>
      </c>
      <c r="H89" s="72">
        <v>45.8</v>
      </c>
      <c r="I89" s="72"/>
      <c r="J89" s="72"/>
      <c r="K89" s="72"/>
      <c r="L89" s="72">
        <v>142.4</v>
      </c>
      <c r="M89" s="72"/>
      <c r="N89" s="72"/>
      <c r="O89" s="72"/>
      <c r="P89" s="72"/>
      <c r="Q89" s="72">
        <v>633.4</v>
      </c>
      <c r="R89" s="72"/>
      <c r="S89" s="72">
        <v>904.4</v>
      </c>
      <c r="T89" s="72"/>
      <c r="U89" s="72">
        <v>5049.6</v>
      </c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>
        <f t="shared" si="13"/>
        <v>7912.400000000001</v>
      </c>
      <c r="AG89" s="72">
        <f t="shared" si="16"/>
        <v>2162.000000000001</v>
      </c>
      <c r="AH89" s="112"/>
      <c r="AI89" s="21"/>
    </row>
    <row r="90" spans="1:35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>
        <v>1886.8</v>
      </c>
      <c r="I90" s="72"/>
      <c r="J90" s="72"/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/>
      <c r="W90" s="72"/>
      <c r="X90" s="72">
        <v>1886.8</v>
      </c>
      <c r="Y90" s="72"/>
      <c r="Z90" s="72"/>
      <c r="AA90" s="72"/>
      <c r="AB90" s="72"/>
      <c r="AC90" s="72"/>
      <c r="AD90" s="72"/>
      <c r="AE90" s="72"/>
      <c r="AF90" s="72">
        <f t="shared" si="13"/>
        <v>5660.4</v>
      </c>
      <c r="AG90" s="72">
        <f t="shared" si="16"/>
        <v>0</v>
      </c>
      <c r="AH90" s="112"/>
      <c r="AI90" s="21"/>
    </row>
    <row r="91" spans="1:35" s="18" customFormat="1" ht="15.75">
      <c r="A91" s="96" t="s">
        <v>25</v>
      </c>
      <c r="B91" s="97">
        <v>833.3</v>
      </c>
      <c r="C91" s="97">
        <v>1666.6999999999998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>
        <f t="shared" si="13"/>
        <v>0</v>
      </c>
      <c r="AG91" s="72">
        <f t="shared" si="16"/>
        <v>2500</v>
      </c>
      <c r="AH91" s="112"/>
      <c r="AI91" s="21"/>
    </row>
    <row r="92" spans="1:34" s="18" customFormat="1" ht="15.75">
      <c r="A92" s="96" t="s">
        <v>37</v>
      </c>
      <c r="B92" s="97">
        <v>22098</v>
      </c>
      <c r="C92" s="97">
        <f>18420.7+1.8</f>
        <v>18422.5</v>
      </c>
      <c r="D92" s="72"/>
      <c r="E92" s="72">
        <v>20631.5</v>
      </c>
      <c r="F92" s="72">
        <v>2864.5</v>
      </c>
      <c r="G92" s="72">
        <v>2072.8</v>
      </c>
      <c r="H92" s="72"/>
      <c r="I92" s="72"/>
      <c r="J92" s="72">
        <v>10611.8</v>
      </c>
      <c r="K92" s="72">
        <v>26.4</v>
      </c>
      <c r="L92" s="72">
        <v>-6447.8</v>
      </c>
      <c r="M92" s="72">
        <v>-3782.8</v>
      </c>
      <c r="N92" s="72">
        <v>-4677.3</v>
      </c>
      <c r="O92" s="72">
        <v>4676.1</v>
      </c>
      <c r="P92" s="72"/>
      <c r="Q92" s="72">
        <v>-2746.7</v>
      </c>
      <c r="R92" s="72"/>
      <c r="S92" s="72">
        <v>-2356.3</v>
      </c>
      <c r="T92" s="72"/>
      <c r="U92" s="72"/>
      <c r="V92" s="72">
        <v>-5820.8</v>
      </c>
      <c r="W92" s="72">
        <v>6091.9</v>
      </c>
      <c r="X92" s="72">
        <v>14434.9</v>
      </c>
      <c r="Y92" s="72"/>
      <c r="Z92" s="72"/>
      <c r="AA92" s="72"/>
      <c r="AB92" s="72"/>
      <c r="AC92" s="72"/>
      <c r="AD92" s="72"/>
      <c r="AE92" s="72"/>
      <c r="AF92" s="72">
        <f t="shared" si="13"/>
        <v>35578.200000000004</v>
      </c>
      <c r="AG92" s="72">
        <f t="shared" si="16"/>
        <v>4942.299999999996</v>
      </c>
      <c r="AH92" s="115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217052.4</v>
      </c>
      <c r="C94" s="35">
        <f t="shared" si="17"/>
        <v>73800.6</v>
      </c>
      <c r="D94" s="82">
        <f t="shared" si="17"/>
        <v>0</v>
      </c>
      <c r="E94" s="82">
        <f t="shared" si="17"/>
        <v>21358.3</v>
      </c>
      <c r="F94" s="82">
        <f t="shared" si="17"/>
        <v>3204.4</v>
      </c>
      <c r="G94" s="82">
        <f t="shared" si="17"/>
        <v>5865.6</v>
      </c>
      <c r="H94" s="82">
        <f t="shared" si="17"/>
        <v>7484.600000000001</v>
      </c>
      <c r="I94" s="82">
        <f t="shared" si="17"/>
        <v>0</v>
      </c>
      <c r="J94" s="82">
        <f t="shared" si="17"/>
        <v>15014.099999999999</v>
      </c>
      <c r="K94" s="82">
        <f t="shared" si="17"/>
        <v>28247.40000000001</v>
      </c>
      <c r="L94" s="82">
        <f t="shared" si="17"/>
        <v>11766.099999999999</v>
      </c>
      <c r="M94" s="91">
        <f t="shared" si="17"/>
        <v>3831.8</v>
      </c>
      <c r="N94" s="82">
        <f t="shared" si="17"/>
        <v>4810.699999999998</v>
      </c>
      <c r="O94" s="82">
        <f t="shared" si="17"/>
        <v>11375.300000000001</v>
      </c>
      <c r="P94" s="82">
        <f t="shared" si="17"/>
        <v>3461</v>
      </c>
      <c r="Q94" s="82">
        <f t="shared" si="17"/>
        <v>3460.3</v>
      </c>
      <c r="R94" s="82">
        <f t="shared" si="17"/>
        <v>1154.3999999999999</v>
      </c>
      <c r="S94" s="82">
        <f t="shared" si="17"/>
        <v>3293.8</v>
      </c>
      <c r="T94" s="82">
        <f t="shared" si="17"/>
        <v>12679.3</v>
      </c>
      <c r="U94" s="82">
        <f t="shared" si="17"/>
        <v>50866.90000000001</v>
      </c>
      <c r="V94" s="82">
        <f t="shared" si="17"/>
        <v>3159.3999999999987</v>
      </c>
      <c r="W94" s="82">
        <f t="shared" si="17"/>
        <v>7276.2</v>
      </c>
      <c r="X94" s="82">
        <f t="shared" si="17"/>
        <v>16321.699999999999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214631.29999999996</v>
      </c>
      <c r="AG94" s="83">
        <f>AG10+AG15+AG24+AG33+AG47+AG52+AG54+AG61+AG62+AG69+AG71+AG72+AG76+AG81+AG82+AG83+AG88+AG89+AG90+AG91+AG70+AG40+AG92</f>
        <v>76221.70000000001</v>
      </c>
    </row>
    <row r="95" spans="1:33" ht="15.75">
      <c r="A95" s="3" t="s">
        <v>5</v>
      </c>
      <c r="B95" s="22">
        <f aca="true" t="shared" si="18" ref="B95:AD95">B11+B17+B26+B34+B55+B63+B73+B41+B77+B48</f>
        <v>81492.45999999999</v>
      </c>
      <c r="C95" s="22">
        <f t="shared" si="18"/>
        <v>4334.199999999999</v>
      </c>
      <c r="D95" s="67">
        <f t="shared" si="18"/>
        <v>0</v>
      </c>
      <c r="E95" s="67">
        <f t="shared" si="18"/>
        <v>196.5</v>
      </c>
      <c r="F95" s="67">
        <f t="shared" si="18"/>
        <v>101.4</v>
      </c>
      <c r="G95" s="67">
        <f t="shared" si="18"/>
        <v>134.2</v>
      </c>
      <c r="H95" s="67">
        <f t="shared" si="18"/>
        <v>1.1</v>
      </c>
      <c r="I95" s="67">
        <f t="shared" si="18"/>
        <v>0</v>
      </c>
      <c r="J95" s="67">
        <f t="shared" si="18"/>
        <v>0</v>
      </c>
      <c r="K95" s="67">
        <f t="shared" si="18"/>
        <v>25840.399999999998</v>
      </c>
      <c r="L95" s="67">
        <f t="shared" si="18"/>
        <v>4497.500000000001</v>
      </c>
      <c r="M95" s="72">
        <f t="shared" si="18"/>
        <v>1272.4</v>
      </c>
      <c r="N95" s="67">
        <f t="shared" si="18"/>
        <v>9.9</v>
      </c>
      <c r="O95" s="67">
        <f t="shared" si="18"/>
        <v>0</v>
      </c>
      <c r="P95" s="67">
        <f t="shared" si="18"/>
        <v>0</v>
      </c>
      <c r="Q95" s="67">
        <f t="shared" si="18"/>
        <v>130.1</v>
      </c>
      <c r="R95" s="67">
        <f t="shared" si="18"/>
        <v>0</v>
      </c>
      <c r="S95" s="67">
        <f t="shared" si="18"/>
        <v>0.9</v>
      </c>
      <c r="T95" s="67">
        <f t="shared" si="18"/>
        <v>1054</v>
      </c>
      <c r="U95" s="67">
        <f t="shared" si="18"/>
        <v>37530.69999999999</v>
      </c>
      <c r="V95" s="67">
        <f t="shared" si="18"/>
        <v>7663.4</v>
      </c>
      <c r="W95" s="67">
        <f t="shared" si="18"/>
        <v>891.5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79323.99999999999</v>
      </c>
      <c r="AG95" s="71">
        <f>B95+C95-AF95</f>
        <v>6502.6600000000035</v>
      </c>
    </row>
    <row r="96" spans="1:33" ht="15.75">
      <c r="A96" s="3" t="s">
        <v>2</v>
      </c>
      <c r="B96" s="22">
        <f aca="true" t="shared" si="19" ref="B96:AD96">B12+B20+B29+B36+B57+B66+B44+B80+B74+B53</f>
        <v>20014.699999999997</v>
      </c>
      <c r="C96" s="22">
        <f t="shared" si="19"/>
        <v>22926.899999999994</v>
      </c>
      <c r="D96" s="67">
        <f t="shared" si="19"/>
        <v>0</v>
      </c>
      <c r="E96" s="67">
        <f t="shared" si="19"/>
        <v>53.3</v>
      </c>
      <c r="F96" s="67">
        <f t="shared" si="19"/>
        <v>1.8</v>
      </c>
      <c r="G96" s="67">
        <f t="shared" si="19"/>
        <v>836.6999999999999</v>
      </c>
      <c r="H96" s="67">
        <f t="shared" si="19"/>
        <v>1393.1000000000001</v>
      </c>
      <c r="I96" s="67">
        <f t="shared" si="19"/>
        <v>0</v>
      </c>
      <c r="J96" s="67">
        <f t="shared" si="19"/>
        <v>939.1999999999999</v>
      </c>
      <c r="K96" s="67">
        <f t="shared" si="19"/>
        <v>723.6999999999999</v>
      </c>
      <c r="L96" s="67">
        <f t="shared" si="19"/>
        <v>3031.6</v>
      </c>
      <c r="M96" s="72">
        <f t="shared" si="19"/>
        <v>2522</v>
      </c>
      <c r="N96" s="67">
        <f t="shared" si="19"/>
        <v>1462.6</v>
      </c>
      <c r="O96" s="67">
        <f t="shared" si="19"/>
        <v>5974.1</v>
      </c>
      <c r="P96" s="67">
        <f t="shared" si="19"/>
        <v>1468.1</v>
      </c>
      <c r="Q96" s="67">
        <f t="shared" si="19"/>
        <v>278.7</v>
      </c>
      <c r="R96" s="67">
        <f t="shared" si="19"/>
        <v>777.8</v>
      </c>
      <c r="S96" s="67">
        <f t="shared" si="19"/>
        <v>814</v>
      </c>
      <c r="T96" s="67">
        <f t="shared" si="19"/>
        <v>570.3</v>
      </c>
      <c r="U96" s="67">
        <f t="shared" si="19"/>
        <v>110.60000000000001</v>
      </c>
      <c r="V96" s="67">
        <f t="shared" si="19"/>
        <v>331.1</v>
      </c>
      <c r="W96" s="67">
        <f t="shared" si="19"/>
        <v>2.2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21290.899999999994</v>
      </c>
      <c r="AG96" s="71">
        <f>B96+C96-AF96</f>
        <v>21650.699999999997</v>
      </c>
    </row>
    <row r="97" spans="1:33" ht="15.75">
      <c r="A97" s="3" t="s">
        <v>3</v>
      </c>
      <c r="B97" s="22">
        <f aca="true" t="shared" si="20" ref="B97:AA97">B18+B27+B42+B64+B78</f>
        <v>36.3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0.9</v>
      </c>
      <c r="I97" s="67">
        <f t="shared" si="20"/>
        <v>0</v>
      </c>
      <c r="J97" s="67">
        <f t="shared" si="20"/>
        <v>0.3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8.7</v>
      </c>
      <c r="U97" s="67">
        <f t="shared" si="20"/>
        <v>9.7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19.599999999999998</v>
      </c>
      <c r="AG97" s="71">
        <f>B97+C97-AF97</f>
        <v>16.7</v>
      </c>
    </row>
    <row r="98" spans="1:33" ht="15.75">
      <c r="A98" s="3" t="s">
        <v>1</v>
      </c>
      <c r="B98" s="22">
        <f aca="true" t="shared" si="21" ref="B98:AD98">B19+B28+B65+B35+B43+B56+B79</f>
        <v>4833.4</v>
      </c>
      <c r="C98" s="22">
        <f t="shared" si="21"/>
        <v>3873.3999999999996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246.9</v>
      </c>
      <c r="H98" s="67">
        <f t="shared" si="21"/>
        <v>427.1</v>
      </c>
      <c r="I98" s="67">
        <f t="shared" si="21"/>
        <v>0</v>
      </c>
      <c r="J98" s="67">
        <f t="shared" si="21"/>
        <v>446.9</v>
      </c>
      <c r="K98" s="67">
        <f t="shared" si="21"/>
        <v>172.2</v>
      </c>
      <c r="L98" s="67">
        <f t="shared" si="21"/>
        <v>56.5</v>
      </c>
      <c r="M98" s="72">
        <f t="shared" si="21"/>
        <v>154.6</v>
      </c>
      <c r="N98" s="67">
        <f t="shared" si="21"/>
        <v>774.4</v>
      </c>
      <c r="O98" s="67">
        <f t="shared" si="21"/>
        <v>0</v>
      </c>
      <c r="P98" s="67">
        <f t="shared" si="21"/>
        <v>945</v>
      </c>
      <c r="Q98" s="67">
        <f t="shared" si="21"/>
        <v>502.1</v>
      </c>
      <c r="R98" s="67">
        <f t="shared" si="21"/>
        <v>4.2</v>
      </c>
      <c r="S98" s="67">
        <f t="shared" si="21"/>
        <v>1121.4</v>
      </c>
      <c r="T98" s="67">
        <f t="shared" si="21"/>
        <v>59</v>
      </c>
      <c r="U98" s="67">
        <f t="shared" si="21"/>
        <v>682.9</v>
      </c>
      <c r="V98" s="67">
        <f t="shared" si="21"/>
        <v>204.5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5797.699999999999</v>
      </c>
      <c r="AG98" s="71">
        <f>B98+C98-AF98</f>
        <v>2909.1000000000004</v>
      </c>
    </row>
    <row r="99" spans="1:33" ht="15.75">
      <c r="A99" s="3" t="s">
        <v>16</v>
      </c>
      <c r="B99" s="22">
        <f aca="true" t="shared" si="22" ref="B99:X99">B21+B30+B49+B37+B58+B13+B75+B67</f>
        <v>7633.900000000001</v>
      </c>
      <c r="C99" s="22">
        <f t="shared" si="22"/>
        <v>2159.8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582.9</v>
      </c>
      <c r="H99" s="67">
        <f t="shared" si="22"/>
        <v>250.5</v>
      </c>
      <c r="I99" s="67">
        <f t="shared" si="22"/>
        <v>0</v>
      </c>
      <c r="J99" s="67">
        <f t="shared" si="22"/>
        <v>1833.3</v>
      </c>
      <c r="K99" s="67">
        <f t="shared" si="22"/>
        <v>55</v>
      </c>
      <c r="L99" s="67">
        <f t="shared" si="22"/>
        <v>0</v>
      </c>
      <c r="M99" s="72">
        <f t="shared" si="22"/>
        <v>376.7</v>
      </c>
      <c r="N99" s="67">
        <f t="shared" si="22"/>
        <v>120.2</v>
      </c>
      <c r="O99" s="67">
        <f t="shared" si="22"/>
        <v>529.4</v>
      </c>
      <c r="P99" s="67">
        <f t="shared" si="22"/>
        <v>0</v>
      </c>
      <c r="Q99" s="67">
        <f t="shared" si="22"/>
        <v>2103</v>
      </c>
      <c r="R99" s="67">
        <f t="shared" si="22"/>
        <v>93.69999999999999</v>
      </c>
      <c r="S99" s="67">
        <f t="shared" si="22"/>
        <v>419.7</v>
      </c>
      <c r="T99" s="67">
        <f t="shared" si="22"/>
        <v>713.5</v>
      </c>
      <c r="U99" s="67">
        <f t="shared" si="22"/>
        <v>11.5</v>
      </c>
      <c r="V99" s="67">
        <f t="shared" si="22"/>
        <v>241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7330.4</v>
      </c>
      <c r="AG99" s="71">
        <f>B99+C99-AF99</f>
        <v>2463.300000000001</v>
      </c>
    </row>
    <row r="100" spans="1:33" ht="12.75">
      <c r="A100" s="1" t="s">
        <v>35</v>
      </c>
      <c r="B100" s="2">
        <f aca="true" t="shared" si="24" ref="B100:AD100">B94-B95-B96-B97-B98-B99</f>
        <v>103041.64000000001</v>
      </c>
      <c r="C100" s="2">
        <f t="shared" si="24"/>
        <v>40506.30000000001</v>
      </c>
      <c r="D100" s="84">
        <f t="shared" si="24"/>
        <v>0</v>
      </c>
      <c r="E100" s="84">
        <f t="shared" si="24"/>
        <v>21108.5</v>
      </c>
      <c r="F100" s="84">
        <f t="shared" si="24"/>
        <v>3101.2</v>
      </c>
      <c r="G100" s="84">
        <f t="shared" si="24"/>
        <v>4064.900000000001</v>
      </c>
      <c r="H100" s="84">
        <f t="shared" si="24"/>
        <v>5411.900000000001</v>
      </c>
      <c r="I100" s="84">
        <f t="shared" si="24"/>
        <v>0</v>
      </c>
      <c r="J100" s="84">
        <f t="shared" si="24"/>
        <v>11794.4</v>
      </c>
      <c r="K100" s="84">
        <f t="shared" si="24"/>
        <v>1456.100000000011</v>
      </c>
      <c r="L100" s="84">
        <f t="shared" si="24"/>
        <v>4180.499999999998</v>
      </c>
      <c r="M100" s="92">
        <f t="shared" si="24"/>
        <v>-493.89999999999986</v>
      </c>
      <c r="N100" s="84">
        <f t="shared" si="24"/>
        <v>2443.5999999999985</v>
      </c>
      <c r="O100" s="84">
        <f t="shared" si="24"/>
        <v>4871.800000000001</v>
      </c>
      <c r="P100" s="84">
        <f t="shared" si="24"/>
        <v>1047.9</v>
      </c>
      <c r="Q100" s="84">
        <f t="shared" si="24"/>
        <v>446.40000000000055</v>
      </c>
      <c r="R100" s="84">
        <f t="shared" si="24"/>
        <v>278.69999999999993</v>
      </c>
      <c r="S100" s="84">
        <f t="shared" si="24"/>
        <v>937.8</v>
      </c>
      <c r="T100" s="84">
        <f t="shared" si="24"/>
        <v>10273.8</v>
      </c>
      <c r="U100" s="84">
        <f t="shared" si="24"/>
        <v>12521.500000000018</v>
      </c>
      <c r="V100" s="84">
        <f t="shared" si="24"/>
        <v>-5280.600000000001</v>
      </c>
      <c r="W100" s="84">
        <f t="shared" si="24"/>
        <v>6382.5</v>
      </c>
      <c r="X100" s="84">
        <f t="shared" si="24"/>
        <v>16321.699999999999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100868.7</v>
      </c>
      <c r="AG100" s="84">
        <f>AG94-AG95-AG96-AG97-AG98-AG99</f>
        <v>42679.24000000001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3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12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2.1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70" t="s">
        <v>12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</row>
    <row r="2" spans="1:33" ht="22.5" customHeight="1">
      <c r="A2" s="171" t="s">
        <v>59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57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8</v>
      </c>
      <c r="K4" s="8">
        <v>9</v>
      </c>
      <c r="L4" s="8">
        <v>10</v>
      </c>
      <c r="M4" s="19">
        <v>11</v>
      </c>
      <c r="N4" s="8">
        <v>12</v>
      </c>
      <c r="O4" s="8">
        <v>15</v>
      </c>
      <c r="P4" s="8">
        <v>16</v>
      </c>
      <c r="Q4" s="8">
        <v>17</v>
      </c>
      <c r="R4" s="8">
        <v>18</v>
      </c>
      <c r="S4" s="19">
        <v>19</v>
      </c>
      <c r="T4" s="19">
        <v>22</v>
      </c>
      <c r="U4" s="8">
        <v>23</v>
      </c>
      <c r="V4" s="8">
        <v>24</v>
      </c>
      <c r="W4" s="8">
        <v>25</v>
      </c>
      <c r="X4" s="19">
        <v>26</v>
      </c>
      <c r="Y4" s="19">
        <v>27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40058</v>
      </c>
      <c r="C7" s="86">
        <v>940.7000000000007</v>
      </c>
      <c r="D7" s="37"/>
      <c r="E7" s="38">
        <v>20029</v>
      </c>
      <c r="F7" s="38"/>
      <c r="G7" s="38"/>
      <c r="H7" s="56"/>
      <c r="I7" s="38"/>
      <c r="J7" s="39"/>
      <c r="K7" s="38"/>
      <c r="L7" s="38"/>
      <c r="M7" s="39"/>
      <c r="N7" s="38">
        <v>20029</v>
      </c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C7+E7+N7-AF16-AF25</f>
        <v>957.0999999999949</v>
      </c>
      <c r="AF7" s="54"/>
      <c r="AG7" s="40"/>
    </row>
    <row r="8" spans="1:55" ht="18" customHeight="1">
      <c r="A8" s="47" t="s">
        <v>30</v>
      </c>
      <c r="B8" s="33">
        <f>SUM(D8:AB8)</f>
        <v>176511.06341000003</v>
      </c>
      <c r="C8" s="87">
        <v>33508.600000000035</v>
      </c>
      <c r="D8" s="59">
        <v>11737.4</v>
      </c>
      <c r="E8" s="60">
        <v>3590.4</v>
      </c>
      <c r="F8" s="61">
        <v>2980.8</v>
      </c>
      <c r="G8" s="61">
        <v>3620</v>
      </c>
      <c r="H8" s="61">
        <v>4639.7</v>
      </c>
      <c r="I8" s="61"/>
      <c r="J8" s="61">
        <v>35408.3</v>
      </c>
      <c r="K8" s="62">
        <v>9765.6</v>
      </c>
      <c r="L8" s="61">
        <v>4740.7</v>
      </c>
      <c r="M8" s="62">
        <v>3112.7</v>
      </c>
      <c r="N8" s="61">
        <v>2972.7</v>
      </c>
      <c r="O8" s="61">
        <v>8696.6</v>
      </c>
      <c r="P8" s="61">
        <v>11200.3</v>
      </c>
      <c r="Q8" s="61">
        <v>5086.6</v>
      </c>
      <c r="R8" s="61">
        <v>4091.4</v>
      </c>
      <c r="S8" s="63">
        <v>5191.3</v>
      </c>
      <c r="T8" s="63">
        <v>11138.1</v>
      </c>
      <c r="U8" s="61">
        <v>12150.1</v>
      </c>
      <c r="V8" s="61">
        <v>8312.77041</v>
      </c>
      <c r="W8" s="61">
        <v>8092.393</v>
      </c>
      <c r="X8" s="62">
        <v>19983.2</v>
      </c>
      <c r="Y8" s="62"/>
      <c r="Z8" s="62"/>
      <c r="AA8" s="62"/>
      <c r="AB8" s="61"/>
      <c r="AC8" s="64"/>
      <c r="AD8" s="64"/>
      <c r="AE8" s="65">
        <f>SUM(D8:AD8)+C8-AF9+AF16+AF25</f>
        <v>46007.478240000084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201521.0000000001</v>
      </c>
      <c r="C9" s="23">
        <f t="shared" si="0"/>
        <v>76221.70000000001</v>
      </c>
      <c r="D9" s="68">
        <f t="shared" si="0"/>
        <v>3700.3</v>
      </c>
      <c r="E9" s="68">
        <f t="shared" si="0"/>
        <v>1323.8</v>
      </c>
      <c r="F9" s="68">
        <f t="shared" si="0"/>
        <v>1718.3000000000002</v>
      </c>
      <c r="G9" s="68">
        <f t="shared" si="0"/>
        <v>4638.700000000001</v>
      </c>
      <c r="H9" s="68">
        <f t="shared" si="0"/>
        <v>15927.800000000001</v>
      </c>
      <c r="I9" s="68">
        <f t="shared" si="0"/>
        <v>0</v>
      </c>
      <c r="J9" s="68">
        <f t="shared" si="0"/>
        <v>6397.4</v>
      </c>
      <c r="K9" s="68">
        <f t="shared" si="0"/>
        <v>5330.6</v>
      </c>
      <c r="L9" s="68">
        <f t="shared" si="0"/>
        <v>17463.600000000002</v>
      </c>
      <c r="M9" s="90">
        <f t="shared" si="0"/>
        <v>32747.3</v>
      </c>
      <c r="N9" s="68">
        <f t="shared" si="0"/>
        <v>6069.400000000001</v>
      </c>
      <c r="O9" s="68">
        <f t="shared" si="0"/>
        <v>567.4</v>
      </c>
      <c r="P9" s="68">
        <f t="shared" si="0"/>
        <v>5148.9</v>
      </c>
      <c r="Q9" s="68">
        <f t="shared" si="0"/>
        <v>3775.1000000000004</v>
      </c>
      <c r="R9" s="68">
        <f t="shared" si="0"/>
        <v>3611.6000000000004</v>
      </c>
      <c r="S9" s="68">
        <f t="shared" si="0"/>
        <v>7747.400000000001</v>
      </c>
      <c r="T9" s="68">
        <f t="shared" si="0"/>
        <v>19571.000000000004</v>
      </c>
      <c r="U9" s="68">
        <f t="shared" si="0"/>
        <v>40985.70000000001</v>
      </c>
      <c r="V9" s="68">
        <f t="shared" si="0"/>
        <v>15950.5</v>
      </c>
      <c r="W9" s="68">
        <f t="shared" si="0"/>
        <v>8093.08517</v>
      </c>
      <c r="X9" s="68">
        <f t="shared" si="0"/>
        <v>3285.9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204053.78517</v>
      </c>
      <c r="AG9" s="90">
        <f>AG10+AG15+AG24+AG33+AG47+AG52+AG54+AG61+AG62+AG71+AG72+AG76+AG88+AG81+AG83+AG82+AG69+AG89+AG91+AG90+AG70+AG40+AG92</f>
        <v>73688.91483000002</v>
      </c>
      <c r="AH9" s="41"/>
      <c r="AI9" s="41"/>
    </row>
    <row r="10" spans="1:35" ht="15.75">
      <c r="A10" s="4" t="s">
        <v>4</v>
      </c>
      <c r="B10" s="22">
        <f>18814.9-200+467.5</f>
        <v>19082.4</v>
      </c>
      <c r="C10" s="22">
        <v>3881.9000000000015</v>
      </c>
      <c r="D10" s="67">
        <v>407</v>
      </c>
      <c r="E10" s="67">
        <v>308.2</v>
      </c>
      <c r="F10" s="67">
        <v>42.8</v>
      </c>
      <c r="G10" s="67">
        <v>26.9</v>
      </c>
      <c r="H10" s="67">
        <v>55.8</v>
      </c>
      <c r="I10" s="67"/>
      <c r="J10" s="70">
        <v>18.9</v>
      </c>
      <c r="K10" s="67">
        <v>32</v>
      </c>
      <c r="L10" s="67">
        <v>2098.5</v>
      </c>
      <c r="M10" s="72">
        <v>2975.4</v>
      </c>
      <c r="N10" s="67">
        <v>1838.9</v>
      </c>
      <c r="O10" s="71">
        <v>53.4</v>
      </c>
      <c r="P10" s="67">
        <v>22.9</v>
      </c>
      <c r="Q10" s="67">
        <v>6.8</v>
      </c>
      <c r="R10" s="67">
        <v>6.4</v>
      </c>
      <c r="S10" s="72">
        <v>20.8</v>
      </c>
      <c r="T10" s="72">
        <v>958.9</v>
      </c>
      <c r="U10" s="72">
        <v>962.6</v>
      </c>
      <c r="V10" s="72">
        <v>6238.3</v>
      </c>
      <c r="W10" s="72">
        <v>2315.7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18390.2</v>
      </c>
      <c r="AG10" s="72">
        <f>B10+C10-AF10</f>
        <v>4574.100000000002</v>
      </c>
      <c r="AI10" s="6"/>
    </row>
    <row r="11" spans="1:35" ht="15.75">
      <c r="A11" s="3" t="s">
        <v>5</v>
      </c>
      <c r="B11" s="22">
        <f>17685.7-200+105+907.5</f>
        <v>18498.2</v>
      </c>
      <c r="C11" s="22">
        <v>2650.100000000006</v>
      </c>
      <c r="D11" s="67">
        <v>404.9</v>
      </c>
      <c r="E11" s="67">
        <v>294.9</v>
      </c>
      <c r="F11" s="67">
        <v>22.6</v>
      </c>
      <c r="G11" s="67"/>
      <c r="H11" s="67">
        <v>39.9</v>
      </c>
      <c r="I11" s="67"/>
      <c r="J11" s="72"/>
      <c r="K11" s="67">
        <v>14.8</v>
      </c>
      <c r="L11" s="67">
        <v>1918.5</v>
      </c>
      <c r="M11" s="72">
        <v>2969.5</v>
      </c>
      <c r="N11" s="67">
        <v>1796.3</v>
      </c>
      <c r="O11" s="71">
        <v>33.2</v>
      </c>
      <c r="P11" s="67"/>
      <c r="Q11" s="67"/>
      <c r="R11" s="67"/>
      <c r="S11" s="72"/>
      <c r="T11" s="72">
        <v>806</v>
      </c>
      <c r="U11" s="72">
        <v>952</v>
      </c>
      <c r="V11" s="72">
        <v>6219.1</v>
      </c>
      <c r="W11" s="72">
        <v>2233.7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17705.4</v>
      </c>
      <c r="AG11" s="72">
        <f>B11+C11-AF11</f>
        <v>3442.900000000005</v>
      </c>
      <c r="AI11" s="6"/>
    </row>
    <row r="12" spans="1:35" ht="15.75">
      <c r="A12" s="3" t="s">
        <v>2</v>
      </c>
      <c r="B12" s="29">
        <f>246.8-200</f>
        <v>46.80000000000001</v>
      </c>
      <c r="C12" s="22">
        <f>372.7-60</f>
        <v>312.7</v>
      </c>
      <c r="D12" s="67"/>
      <c r="E12" s="67"/>
      <c r="F12" s="67"/>
      <c r="G12" s="67"/>
      <c r="H12" s="67">
        <v>3.8</v>
      </c>
      <c r="I12" s="67"/>
      <c r="J12" s="72"/>
      <c r="K12" s="67"/>
      <c r="L12" s="67">
        <f>156.9</f>
        <v>156.9</v>
      </c>
      <c r="M12" s="72"/>
      <c r="N12" s="67">
        <v>5</v>
      </c>
      <c r="O12" s="71"/>
      <c r="P12" s="67"/>
      <c r="Q12" s="67">
        <v>2.6</v>
      </c>
      <c r="R12" s="67"/>
      <c r="S12" s="72"/>
      <c r="T12" s="72"/>
      <c r="U12" s="72">
        <f>1.8</f>
        <v>1.8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170.10000000000002</v>
      </c>
      <c r="AG12" s="72">
        <f>B12+C12-AF12</f>
        <v>189.39999999999998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537.4000000000008</v>
      </c>
      <c r="C14" s="22">
        <v>859.0999999999956</v>
      </c>
      <c r="D14" s="67">
        <f t="shared" si="2"/>
        <v>2.1000000000000227</v>
      </c>
      <c r="E14" s="67">
        <f t="shared" si="2"/>
        <v>13.300000000000011</v>
      </c>
      <c r="F14" s="67">
        <f t="shared" si="2"/>
        <v>20.199999999999996</v>
      </c>
      <c r="G14" s="67">
        <f t="shared" si="2"/>
        <v>26.9</v>
      </c>
      <c r="H14" s="67">
        <f t="shared" si="2"/>
        <v>12.099999999999998</v>
      </c>
      <c r="I14" s="67">
        <f t="shared" si="2"/>
        <v>0</v>
      </c>
      <c r="J14" s="67">
        <f t="shared" si="2"/>
        <v>18.9</v>
      </c>
      <c r="K14" s="67">
        <f t="shared" si="2"/>
        <v>17.2</v>
      </c>
      <c r="L14" s="67">
        <f t="shared" si="2"/>
        <v>23.099999999999994</v>
      </c>
      <c r="M14" s="72">
        <f t="shared" si="2"/>
        <v>5.900000000000091</v>
      </c>
      <c r="N14" s="67">
        <f t="shared" si="2"/>
        <v>37.600000000000136</v>
      </c>
      <c r="O14" s="67">
        <f t="shared" si="2"/>
        <v>20.199999999999996</v>
      </c>
      <c r="P14" s="67">
        <f t="shared" si="2"/>
        <v>22.9</v>
      </c>
      <c r="Q14" s="67">
        <f t="shared" si="2"/>
        <v>4.199999999999999</v>
      </c>
      <c r="R14" s="67">
        <f t="shared" si="2"/>
        <v>6.4</v>
      </c>
      <c r="S14" s="67">
        <f t="shared" si="2"/>
        <v>20.8</v>
      </c>
      <c r="T14" s="67">
        <f t="shared" si="2"/>
        <v>152.89999999999998</v>
      </c>
      <c r="U14" s="67">
        <f t="shared" si="2"/>
        <v>8.800000000000022</v>
      </c>
      <c r="V14" s="67">
        <f t="shared" si="2"/>
        <v>19.199999999999818</v>
      </c>
      <c r="W14" s="67">
        <f t="shared" si="2"/>
        <v>82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514.7</v>
      </c>
      <c r="AG14" s="72">
        <f>AG10-AG11-AG12-AG13</f>
        <v>941.7999999999971</v>
      </c>
      <c r="AI14" s="6"/>
    </row>
    <row r="15" spans="1:35" s="18" customFormat="1" ht="15" customHeight="1">
      <c r="A15" s="96" t="s">
        <v>6</v>
      </c>
      <c r="B15" s="97">
        <f>78673.8+7.6</f>
        <v>78681.40000000001</v>
      </c>
      <c r="C15" s="97">
        <v>29287.300000000003</v>
      </c>
      <c r="D15" s="100"/>
      <c r="E15" s="100">
        <v>629.5</v>
      </c>
      <c r="F15" s="72">
        <v>733.5</v>
      </c>
      <c r="G15" s="72">
        <v>255.6</v>
      </c>
      <c r="H15" s="72">
        <v>2756.8</v>
      </c>
      <c r="I15" s="72"/>
      <c r="J15" s="72">
        <f>628.6+8.7</f>
        <v>637.3000000000001</v>
      </c>
      <c r="K15" s="72">
        <v>2675.8</v>
      </c>
      <c r="L15" s="72">
        <v>1146.4</v>
      </c>
      <c r="M15" s="72">
        <f>15913.4+10597.9</f>
        <v>26511.3</v>
      </c>
      <c r="N15" s="72">
        <v>989.9</v>
      </c>
      <c r="O15" s="72">
        <v>15.5</v>
      </c>
      <c r="P15" s="72">
        <v>1558</v>
      </c>
      <c r="Q15" s="72">
        <v>1305.3</v>
      </c>
      <c r="R15" s="72">
        <v>494.8</v>
      </c>
      <c r="S15" s="72">
        <v>1064.4</v>
      </c>
      <c r="T15" s="72">
        <v>1049.8</v>
      </c>
      <c r="U15" s="72">
        <f>22080.9+12396.7</f>
        <v>34477.600000000006</v>
      </c>
      <c r="V15" s="72">
        <v>93</v>
      </c>
      <c r="W15" s="72">
        <v>16.1</v>
      </c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76410.60000000002</v>
      </c>
      <c r="AG15" s="72">
        <f aca="true" t="shared" si="3" ref="AG15:AG31">B15+C15-AF15</f>
        <v>31558.09999999999</v>
      </c>
      <c r="AI15" s="21"/>
    </row>
    <row r="16" spans="1:35" s="104" customFormat="1" ht="15" customHeight="1">
      <c r="A16" s="101" t="s">
        <v>38</v>
      </c>
      <c r="B16" s="102">
        <v>23019.6</v>
      </c>
      <c r="C16" s="102">
        <v>42.79999999999927</v>
      </c>
      <c r="D16" s="88"/>
      <c r="E16" s="88"/>
      <c r="F16" s="76"/>
      <c r="G16" s="76"/>
      <c r="H16" s="76"/>
      <c r="I16" s="76"/>
      <c r="J16" s="76">
        <v>8.7</v>
      </c>
      <c r="K16" s="76"/>
      <c r="L16" s="76"/>
      <c r="M16" s="76">
        <v>10597.9</v>
      </c>
      <c r="N16" s="76"/>
      <c r="O16" s="76"/>
      <c r="P16" s="76"/>
      <c r="Q16" s="76"/>
      <c r="R16" s="76"/>
      <c r="S16" s="76"/>
      <c r="T16" s="76"/>
      <c r="U16" s="76">
        <v>12396.8</v>
      </c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88">
        <f t="shared" si="1"/>
        <v>23003.4</v>
      </c>
      <c r="AG16" s="88">
        <f t="shared" si="3"/>
        <v>58.99999999999636</v>
      </c>
      <c r="AH16" s="103"/>
      <c r="AI16" s="21"/>
    </row>
    <row r="17" spans="1:35" s="18" customFormat="1" ht="15.75">
      <c r="A17" s="98" t="s">
        <v>5</v>
      </c>
      <c r="B17" s="97">
        <v>61793.1</v>
      </c>
      <c r="C17" s="97">
        <v>2733.659999999996</v>
      </c>
      <c r="D17" s="72"/>
      <c r="E17" s="72">
        <v>5.3</v>
      </c>
      <c r="F17" s="72">
        <v>4.8</v>
      </c>
      <c r="G17" s="72"/>
      <c r="H17" s="72"/>
      <c r="I17" s="72"/>
      <c r="J17" s="72">
        <v>8.7</v>
      </c>
      <c r="K17" s="72"/>
      <c r="L17" s="72"/>
      <c r="M17" s="72">
        <f>13704.4+10597.9</f>
        <v>24302.3</v>
      </c>
      <c r="N17" s="72"/>
      <c r="O17" s="72"/>
      <c r="P17" s="72"/>
      <c r="Q17" s="72"/>
      <c r="R17" s="72"/>
      <c r="S17" s="72"/>
      <c r="T17" s="72"/>
      <c r="U17" s="72">
        <f>21312.8+12396.7</f>
        <v>33709.5</v>
      </c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58030.6</v>
      </c>
      <c r="AG17" s="72">
        <f t="shared" si="3"/>
        <v>6496.159999999996</v>
      </c>
      <c r="AH17" s="21"/>
      <c r="AI17" s="21"/>
    </row>
    <row r="18" spans="1:35" s="18" customFormat="1" ht="15.75">
      <c r="A18" s="98" t="s">
        <v>3</v>
      </c>
      <c r="B18" s="97"/>
      <c r="C18" s="97">
        <v>15.8</v>
      </c>
      <c r="D18" s="72"/>
      <c r="E18" s="72"/>
      <c r="F18" s="72"/>
      <c r="G18" s="72"/>
      <c r="H18" s="72">
        <v>0.3</v>
      </c>
      <c r="I18" s="72"/>
      <c r="J18" s="72">
        <v>0.4</v>
      </c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0.7</v>
      </c>
      <c r="AG18" s="72">
        <f t="shared" si="3"/>
        <v>15.100000000000001</v>
      </c>
      <c r="AI18" s="21"/>
    </row>
    <row r="19" spans="1:35" s="18" customFormat="1" ht="15.75">
      <c r="A19" s="98" t="s">
        <v>1</v>
      </c>
      <c r="B19" s="97">
        <v>5306.4</v>
      </c>
      <c r="C19" s="97">
        <v>2409.8999999999996</v>
      </c>
      <c r="D19" s="72"/>
      <c r="E19" s="72">
        <v>363.3</v>
      </c>
      <c r="F19" s="72">
        <v>73.4</v>
      </c>
      <c r="G19" s="72">
        <v>41.9</v>
      </c>
      <c r="H19" s="72">
        <v>403.7</v>
      </c>
      <c r="I19" s="72"/>
      <c r="J19" s="72">
        <v>10.1</v>
      </c>
      <c r="K19" s="72">
        <v>702.9</v>
      </c>
      <c r="L19" s="72">
        <v>518</v>
      </c>
      <c r="M19" s="72">
        <v>32.3</v>
      </c>
      <c r="N19" s="72">
        <v>798.8</v>
      </c>
      <c r="O19" s="72"/>
      <c r="P19" s="72">
        <v>479.5</v>
      </c>
      <c r="Q19" s="72">
        <v>841.8</v>
      </c>
      <c r="R19" s="72">
        <v>9.7</v>
      </c>
      <c r="S19" s="72">
        <v>390.5</v>
      </c>
      <c r="T19" s="72">
        <v>203.2</v>
      </c>
      <c r="U19" s="72">
        <v>283.8</v>
      </c>
      <c r="V19" s="72"/>
      <c r="W19" s="72">
        <v>14.8</v>
      </c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5167.700000000001</v>
      </c>
      <c r="AG19" s="72">
        <f t="shared" si="3"/>
        <v>2548.5999999999985</v>
      </c>
      <c r="AI19" s="21"/>
    </row>
    <row r="20" spans="1:35" s="18" customFormat="1" ht="15.75">
      <c r="A20" s="98" t="s">
        <v>2</v>
      </c>
      <c r="B20" s="97">
        <v>6956.5</v>
      </c>
      <c r="C20" s="97">
        <v>19342.3</v>
      </c>
      <c r="D20" s="72"/>
      <c r="E20" s="72">
        <v>65.1</v>
      </c>
      <c r="F20" s="72">
        <v>547.6</v>
      </c>
      <c r="G20" s="72">
        <v>206.2</v>
      </c>
      <c r="H20" s="72">
        <v>1957.7</v>
      </c>
      <c r="I20" s="72"/>
      <c r="J20" s="72">
        <v>517</v>
      </c>
      <c r="K20" s="72">
        <v>1972.2</v>
      </c>
      <c r="L20" s="72">
        <v>544.3</v>
      </c>
      <c r="M20" s="72">
        <v>1550.3</v>
      </c>
      <c r="N20" s="72">
        <v>130.4</v>
      </c>
      <c r="O20" s="72"/>
      <c r="P20" s="72">
        <v>1057.3</v>
      </c>
      <c r="Q20" s="72">
        <v>163.5</v>
      </c>
      <c r="R20" s="72">
        <v>114.1</v>
      </c>
      <c r="S20" s="72">
        <v>287.7</v>
      </c>
      <c r="T20" s="72">
        <v>262.4</v>
      </c>
      <c r="U20" s="72">
        <v>79.6</v>
      </c>
      <c r="V20" s="72">
        <v>2</v>
      </c>
      <c r="W20" s="72">
        <f>0.6+1.1</f>
        <v>1.7000000000000002</v>
      </c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9459.100000000002</v>
      </c>
      <c r="AG20" s="72">
        <f t="shared" si="3"/>
        <v>16839.699999999997</v>
      </c>
      <c r="AI20" s="21"/>
    </row>
    <row r="21" spans="1:35" s="18" customFormat="1" ht="15.75">
      <c r="A21" s="98" t="s">
        <v>16</v>
      </c>
      <c r="B21" s="97">
        <f>1151.3-2</f>
        <v>1149.3</v>
      </c>
      <c r="C21" s="97">
        <v>347.5</v>
      </c>
      <c r="D21" s="72"/>
      <c r="E21" s="72"/>
      <c r="F21" s="72"/>
      <c r="G21" s="72"/>
      <c r="H21" s="72"/>
      <c r="I21" s="72"/>
      <c r="J21" s="72"/>
      <c r="K21" s="72"/>
      <c r="L21" s="72"/>
      <c r="M21" s="72">
        <v>194.7</v>
      </c>
      <c r="N21" s="72"/>
      <c r="O21" s="72"/>
      <c r="P21" s="72"/>
      <c r="Q21" s="72"/>
      <c r="R21" s="72">
        <v>350.5</v>
      </c>
      <c r="S21" s="72"/>
      <c r="T21" s="72">
        <v>306</v>
      </c>
      <c r="U21" s="72">
        <v>128.9</v>
      </c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980.1</v>
      </c>
      <c r="AG21" s="72">
        <f t="shared" si="3"/>
        <v>516.6999999999999</v>
      </c>
      <c r="AI21" s="21"/>
    </row>
    <row r="22" spans="1:35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  <c r="AI22" s="21"/>
    </row>
    <row r="23" spans="1:35" s="18" customFormat="1" ht="15.75">
      <c r="A23" s="98" t="s">
        <v>23</v>
      </c>
      <c r="B23" s="97">
        <f>B15-B17-B18-B19-B20-B21-B22</f>
        <v>3476.1000000000104</v>
      </c>
      <c r="C23" s="97">
        <v>4652.540000000017</v>
      </c>
      <c r="D23" s="72">
        <f aca="true" t="shared" si="4" ref="D23:AD23">D15-D17-D18-D19-D20-D21-D22</f>
        <v>0</v>
      </c>
      <c r="E23" s="72">
        <f t="shared" si="4"/>
        <v>195.80000000000004</v>
      </c>
      <c r="F23" s="72">
        <f t="shared" si="4"/>
        <v>107.70000000000005</v>
      </c>
      <c r="G23" s="72">
        <f t="shared" si="4"/>
        <v>7.5</v>
      </c>
      <c r="H23" s="72">
        <f t="shared" si="4"/>
        <v>395.10000000000014</v>
      </c>
      <c r="I23" s="72">
        <f t="shared" si="4"/>
        <v>0</v>
      </c>
      <c r="J23" s="72">
        <f t="shared" si="4"/>
        <v>101.10000000000002</v>
      </c>
      <c r="K23" s="72">
        <f t="shared" si="4"/>
        <v>0.7000000000000455</v>
      </c>
      <c r="L23" s="72">
        <f t="shared" si="4"/>
        <v>84.10000000000014</v>
      </c>
      <c r="M23" s="72">
        <f t="shared" si="4"/>
        <v>431.6999999999999</v>
      </c>
      <c r="N23" s="72">
        <f t="shared" si="4"/>
        <v>60.70000000000002</v>
      </c>
      <c r="O23" s="72">
        <f t="shared" si="4"/>
        <v>15.5</v>
      </c>
      <c r="P23" s="72">
        <f t="shared" si="4"/>
        <v>21.200000000000045</v>
      </c>
      <c r="Q23" s="72">
        <f t="shared" si="4"/>
        <v>300</v>
      </c>
      <c r="R23" s="72">
        <f t="shared" si="4"/>
        <v>20.5</v>
      </c>
      <c r="S23" s="72">
        <f t="shared" si="4"/>
        <v>386.2000000000001</v>
      </c>
      <c r="T23" s="72">
        <f t="shared" si="4"/>
        <v>278.19999999999993</v>
      </c>
      <c r="U23" s="72">
        <f t="shared" si="4"/>
        <v>275.80000000000587</v>
      </c>
      <c r="V23" s="72">
        <f t="shared" si="4"/>
        <v>91</v>
      </c>
      <c r="W23" s="72">
        <f t="shared" si="4"/>
        <v>-0.39999999999999947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2772.4000000000065</v>
      </c>
      <c r="AG23" s="72">
        <f t="shared" si="3"/>
        <v>5356.240000000022</v>
      </c>
      <c r="AI23" s="21"/>
    </row>
    <row r="24" spans="1:35" s="18" customFormat="1" ht="15" customHeight="1">
      <c r="A24" s="96" t="s">
        <v>7</v>
      </c>
      <c r="B24" s="97">
        <v>43035.5</v>
      </c>
      <c r="C24" s="97">
        <v>11664.400000000009</v>
      </c>
      <c r="D24" s="72"/>
      <c r="E24" s="72">
        <f>112+0.7</f>
        <v>112.7</v>
      </c>
      <c r="F24" s="72">
        <v>344.2</v>
      </c>
      <c r="G24" s="72"/>
      <c r="H24" s="72">
        <v>2929.9</v>
      </c>
      <c r="I24" s="72"/>
      <c r="J24" s="72">
        <f>1165.4+743.9</f>
        <v>1909.3000000000002</v>
      </c>
      <c r="K24" s="72"/>
      <c r="L24" s="72">
        <f>679.4+7774.7</f>
        <v>8454.1</v>
      </c>
      <c r="M24" s="72">
        <v>2133.2</v>
      </c>
      <c r="N24" s="72">
        <f>898.2+803.2</f>
        <v>1701.4</v>
      </c>
      <c r="O24" s="72">
        <v>71.5</v>
      </c>
      <c r="P24" s="72">
        <v>33.9</v>
      </c>
      <c r="Q24" s="72"/>
      <c r="R24" s="72"/>
      <c r="S24" s="72">
        <f>3441.8+1127</f>
        <v>4568.8</v>
      </c>
      <c r="T24" s="72">
        <f>11820.4+4421.6</f>
        <v>16242</v>
      </c>
      <c r="U24" s="72">
        <v>307.4</v>
      </c>
      <c r="V24" s="72">
        <f>1843.4+2</f>
        <v>1845.4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40653.8</v>
      </c>
      <c r="AG24" s="72">
        <f t="shared" si="3"/>
        <v>14046.100000000006</v>
      </c>
      <c r="AI24" s="21"/>
    </row>
    <row r="25" spans="1:35" s="104" customFormat="1" ht="15" customHeight="1">
      <c r="A25" s="101" t="s">
        <v>39</v>
      </c>
      <c r="B25" s="102">
        <v>17138</v>
      </c>
      <c r="C25" s="102">
        <v>0</v>
      </c>
      <c r="D25" s="76"/>
      <c r="E25" s="76">
        <v>0.7</v>
      </c>
      <c r="F25" s="76"/>
      <c r="G25" s="76"/>
      <c r="H25" s="76"/>
      <c r="I25" s="76"/>
      <c r="J25" s="76">
        <v>743.9</v>
      </c>
      <c r="K25" s="76"/>
      <c r="L25" s="76">
        <v>7774.7</v>
      </c>
      <c r="M25" s="76">
        <v>2133.2</v>
      </c>
      <c r="N25" s="76">
        <v>803.2</v>
      </c>
      <c r="O25" s="76"/>
      <c r="P25" s="76">
        <v>33.9</v>
      </c>
      <c r="Q25" s="76"/>
      <c r="R25" s="76"/>
      <c r="S25" s="76">
        <v>1127</v>
      </c>
      <c r="T25" s="76">
        <v>4421.6</v>
      </c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88">
        <f t="shared" si="1"/>
        <v>17038.2</v>
      </c>
      <c r="AG25" s="88">
        <f t="shared" si="3"/>
        <v>99.79999999999927</v>
      </c>
      <c r="AH25" s="103"/>
      <c r="AI25" s="21"/>
    </row>
    <row r="26" spans="1:35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  <c r="AI26" s="21"/>
    </row>
    <row r="27" spans="1:35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  <c r="AI27" s="21"/>
    </row>
    <row r="28" spans="1:35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  <c r="AI28" s="21"/>
    </row>
    <row r="29" spans="1:35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  <c r="AI29" s="21"/>
    </row>
    <row r="30" spans="1:35" s="18" customFormat="1" ht="15.75">
      <c r="A30" s="98" t="s">
        <v>16</v>
      </c>
      <c r="B30" s="97">
        <v>90.9</v>
      </c>
      <c r="C30" s="97">
        <v>181.7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>
        <v>199.3</v>
      </c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199.3</v>
      </c>
      <c r="AG30" s="72">
        <f t="shared" si="3"/>
        <v>73.30000000000001</v>
      </c>
      <c r="AI30" s="21"/>
    </row>
    <row r="31" spans="1:35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  <c r="AI31" s="21"/>
    </row>
    <row r="32" spans="1:35" s="18" customFormat="1" ht="15.75">
      <c r="A32" s="98" t="s">
        <v>23</v>
      </c>
      <c r="B32" s="97">
        <f>B24-B30</f>
        <v>42944.6</v>
      </c>
      <c r="C32" s="97">
        <v>11482.700000000008</v>
      </c>
      <c r="D32" s="72">
        <f aca="true" t="shared" si="5" ref="D32:AD32">D24-D26-D27-D28-D29-D30-D31</f>
        <v>0</v>
      </c>
      <c r="E32" s="72">
        <f t="shared" si="5"/>
        <v>112.7</v>
      </c>
      <c r="F32" s="72">
        <f t="shared" si="5"/>
        <v>344.2</v>
      </c>
      <c r="G32" s="72">
        <f t="shared" si="5"/>
        <v>0</v>
      </c>
      <c r="H32" s="72">
        <f t="shared" si="5"/>
        <v>2929.9</v>
      </c>
      <c r="I32" s="72">
        <f t="shared" si="5"/>
        <v>0</v>
      </c>
      <c r="J32" s="72">
        <f t="shared" si="5"/>
        <v>1909.3000000000002</v>
      </c>
      <c r="K32" s="72">
        <f t="shared" si="5"/>
        <v>0</v>
      </c>
      <c r="L32" s="72">
        <f t="shared" si="5"/>
        <v>8454.1</v>
      </c>
      <c r="M32" s="72">
        <f t="shared" si="5"/>
        <v>2133.2</v>
      </c>
      <c r="N32" s="72">
        <f t="shared" si="5"/>
        <v>1701.4</v>
      </c>
      <c r="O32" s="72">
        <f t="shared" si="5"/>
        <v>71.5</v>
      </c>
      <c r="P32" s="72">
        <f t="shared" si="5"/>
        <v>33.9</v>
      </c>
      <c r="Q32" s="72">
        <f t="shared" si="5"/>
        <v>0</v>
      </c>
      <c r="R32" s="72">
        <f t="shared" si="5"/>
        <v>0</v>
      </c>
      <c r="S32" s="72">
        <f t="shared" si="5"/>
        <v>4369.5</v>
      </c>
      <c r="T32" s="72">
        <f t="shared" si="5"/>
        <v>16242</v>
      </c>
      <c r="U32" s="72">
        <f t="shared" si="5"/>
        <v>307.4</v>
      </c>
      <c r="V32" s="72">
        <f t="shared" si="5"/>
        <v>1845.4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40454.50000000001</v>
      </c>
      <c r="AG32" s="72">
        <f>AG24-AG30</f>
        <v>13972.800000000007</v>
      </c>
      <c r="AI32" s="21"/>
    </row>
    <row r="33" spans="1:35" s="18" customFormat="1" ht="15" customHeight="1">
      <c r="A33" s="96" t="s">
        <v>8</v>
      </c>
      <c r="B33" s="97">
        <v>438.5</v>
      </c>
      <c r="C33" s="97">
        <v>153.20000000000016</v>
      </c>
      <c r="D33" s="72"/>
      <c r="E33" s="72"/>
      <c r="F33" s="72"/>
      <c r="G33" s="72"/>
      <c r="H33" s="72"/>
      <c r="I33" s="72"/>
      <c r="J33" s="72">
        <v>30.8</v>
      </c>
      <c r="K33" s="72"/>
      <c r="L33" s="72">
        <v>60.6</v>
      </c>
      <c r="M33" s="72">
        <v>59.8</v>
      </c>
      <c r="N33" s="72">
        <v>0.5</v>
      </c>
      <c r="O33" s="72"/>
      <c r="P33" s="72"/>
      <c r="Q33" s="72"/>
      <c r="R33" s="72">
        <v>2.3</v>
      </c>
      <c r="S33" s="72"/>
      <c r="T33" s="72">
        <v>86.2</v>
      </c>
      <c r="U33" s="72">
        <f>133.9-1.9</f>
        <v>132</v>
      </c>
      <c r="V33" s="72">
        <f>48.6+0.1</f>
        <v>48.7</v>
      </c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420.9</v>
      </c>
      <c r="AG33" s="72">
        <f aca="true" t="shared" si="6" ref="AG33:AG38">B33+C33-AF33</f>
        <v>170.80000000000018</v>
      </c>
      <c r="AI33" s="21"/>
    </row>
    <row r="34" spans="1:35" s="18" customFormat="1" ht="15.75">
      <c r="A34" s="98" t="s">
        <v>5</v>
      </c>
      <c r="B34" s="97">
        <v>298</v>
      </c>
      <c r="C34" s="97">
        <v>24.69999999999999</v>
      </c>
      <c r="D34" s="72"/>
      <c r="E34" s="72"/>
      <c r="F34" s="72"/>
      <c r="G34" s="72"/>
      <c r="H34" s="72"/>
      <c r="I34" s="72"/>
      <c r="J34" s="72"/>
      <c r="K34" s="72"/>
      <c r="L34" s="72">
        <v>54.2</v>
      </c>
      <c r="M34" s="72">
        <v>59.8</v>
      </c>
      <c r="N34" s="72"/>
      <c r="O34" s="72"/>
      <c r="P34" s="72"/>
      <c r="Q34" s="72"/>
      <c r="R34" s="72"/>
      <c r="S34" s="72"/>
      <c r="T34" s="72">
        <v>86.2</v>
      </c>
      <c r="U34" s="72">
        <v>109.7</v>
      </c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309.9</v>
      </c>
      <c r="AG34" s="72">
        <f t="shared" si="6"/>
        <v>12.800000000000011</v>
      </c>
      <c r="AI34" s="21"/>
    </row>
    <row r="35" spans="1:35" s="18" customFormat="1" ht="15.75" hidden="1">
      <c r="A35" s="98" t="s">
        <v>1</v>
      </c>
      <c r="B35" s="97"/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  <c r="AI35" s="21"/>
    </row>
    <row r="36" spans="1:35" s="18" customFormat="1" ht="15.75">
      <c r="A36" s="98" t="s">
        <v>2</v>
      </c>
      <c r="B36" s="105">
        <v>48</v>
      </c>
      <c r="C36" s="97">
        <v>78.2</v>
      </c>
      <c r="D36" s="72"/>
      <c r="E36" s="72"/>
      <c r="F36" s="72"/>
      <c r="G36" s="72"/>
      <c r="H36" s="72"/>
      <c r="I36" s="72"/>
      <c r="J36" s="72">
        <v>30.8</v>
      </c>
      <c r="K36" s="72"/>
      <c r="L36" s="72"/>
      <c r="M36" s="72"/>
      <c r="N36" s="72">
        <v>0.2</v>
      </c>
      <c r="O36" s="72"/>
      <c r="P36" s="72"/>
      <c r="Q36" s="72"/>
      <c r="R36" s="72"/>
      <c r="S36" s="72"/>
      <c r="T36" s="72"/>
      <c r="U36" s="72">
        <v>16.8</v>
      </c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47.8</v>
      </c>
      <c r="AG36" s="72">
        <f t="shared" si="6"/>
        <v>78.4</v>
      </c>
      <c r="AI36" s="21"/>
    </row>
    <row r="37" spans="1:35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  <c r="AI37" s="21"/>
    </row>
    <row r="38" spans="1:35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  <c r="AI38" s="21"/>
    </row>
    <row r="39" spans="1:35" s="18" customFormat="1" ht="15.75">
      <c r="A39" s="98" t="s">
        <v>23</v>
      </c>
      <c r="B39" s="97">
        <f aca="true" t="shared" si="7" ref="B39:AD39">B33-B34-B36-B38-B37-B35</f>
        <v>92.5</v>
      </c>
      <c r="C39" s="97">
        <v>50.30000000000017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6.399999999999999</v>
      </c>
      <c r="M39" s="72">
        <f t="shared" si="7"/>
        <v>0</v>
      </c>
      <c r="N39" s="72">
        <f t="shared" si="7"/>
        <v>0.3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2.3</v>
      </c>
      <c r="S39" s="72">
        <f t="shared" si="7"/>
        <v>0</v>
      </c>
      <c r="T39" s="72">
        <f t="shared" si="7"/>
        <v>0</v>
      </c>
      <c r="U39" s="72">
        <f t="shared" si="7"/>
        <v>5.4999999999999964</v>
      </c>
      <c r="V39" s="72">
        <f t="shared" si="7"/>
        <v>48.7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63.199999999999996</v>
      </c>
      <c r="AG39" s="72">
        <f>AG33-AG34-AG36-AG38-AG35-AG37</f>
        <v>79.60000000000016</v>
      </c>
      <c r="AI39" s="21"/>
    </row>
    <row r="40" spans="1:35" s="18" customFormat="1" ht="15" customHeight="1">
      <c r="A40" s="96" t="s">
        <v>29</v>
      </c>
      <c r="B40" s="97">
        <v>1509.7</v>
      </c>
      <c r="C40" s="97">
        <v>205.00000000000023</v>
      </c>
      <c r="D40" s="72"/>
      <c r="E40" s="72"/>
      <c r="F40" s="72"/>
      <c r="G40" s="72"/>
      <c r="H40" s="72">
        <v>61.4</v>
      </c>
      <c r="I40" s="72"/>
      <c r="J40" s="72">
        <v>2.9</v>
      </c>
      <c r="K40" s="72"/>
      <c r="L40" s="72">
        <v>439.9</v>
      </c>
      <c r="M40" s="72"/>
      <c r="N40" s="72"/>
      <c r="O40" s="72"/>
      <c r="P40" s="72">
        <v>0.3</v>
      </c>
      <c r="Q40" s="72"/>
      <c r="R40" s="72">
        <v>42</v>
      </c>
      <c r="S40" s="72"/>
      <c r="T40" s="72"/>
      <c r="U40" s="72">
        <v>847.8</v>
      </c>
      <c r="V40" s="72"/>
      <c r="W40" s="72">
        <v>8.3</v>
      </c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1402.6</v>
      </c>
      <c r="AG40" s="72">
        <f aca="true" t="shared" si="8" ref="AG40:AG45">B40+C40-AF40</f>
        <v>312.10000000000036</v>
      </c>
      <c r="AI40" s="21"/>
    </row>
    <row r="41" spans="1:35" s="18" customFormat="1" ht="15.75">
      <c r="A41" s="98" t="s">
        <v>5</v>
      </c>
      <c r="B41" s="97">
        <v>1296.4</v>
      </c>
      <c r="C41" s="97">
        <v>101.19999999999982</v>
      </c>
      <c r="D41" s="72"/>
      <c r="E41" s="72"/>
      <c r="F41" s="72"/>
      <c r="G41" s="72"/>
      <c r="H41" s="72"/>
      <c r="I41" s="72"/>
      <c r="J41" s="72"/>
      <c r="K41" s="72"/>
      <c r="L41" s="72">
        <v>425</v>
      </c>
      <c r="M41" s="72"/>
      <c r="N41" s="72"/>
      <c r="O41" s="72"/>
      <c r="P41" s="72"/>
      <c r="Q41" s="72"/>
      <c r="R41" s="72"/>
      <c r="S41" s="72"/>
      <c r="T41" s="72"/>
      <c r="U41" s="72">
        <f>839.9+0.1</f>
        <v>840</v>
      </c>
      <c r="V41" s="72"/>
      <c r="W41" s="72">
        <v>7</v>
      </c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1272</v>
      </c>
      <c r="AG41" s="72">
        <f t="shared" si="8"/>
        <v>125.59999999999991</v>
      </c>
      <c r="AH41" s="21"/>
      <c r="AI41" s="21"/>
    </row>
    <row r="42" spans="1:35" s="18" customFormat="1" ht="15.75">
      <c r="A42" s="98" t="s">
        <v>3</v>
      </c>
      <c r="B42" s="97"/>
      <c r="C42" s="97">
        <v>0.9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0.9</v>
      </c>
      <c r="AI42" s="21"/>
    </row>
    <row r="43" spans="1:35" s="18" customFormat="1" ht="15.75">
      <c r="A43" s="98" t="s">
        <v>1</v>
      </c>
      <c r="B43" s="97">
        <v>10.3</v>
      </c>
      <c r="C43" s="97">
        <v>2.3000000000000007</v>
      </c>
      <c r="D43" s="72"/>
      <c r="E43" s="72"/>
      <c r="F43" s="72"/>
      <c r="G43" s="72"/>
      <c r="H43" s="72">
        <v>10.1</v>
      </c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10.1</v>
      </c>
      <c r="AG43" s="72">
        <f t="shared" si="8"/>
        <v>2.5000000000000018</v>
      </c>
      <c r="AI43" s="21"/>
    </row>
    <row r="44" spans="1:35" s="18" customFormat="1" ht="15.75">
      <c r="A44" s="98" t="s">
        <v>2</v>
      </c>
      <c r="B44" s="97">
        <v>168.6</v>
      </c>
      <c r="C44" s="97">
        <v>92.10000000000005</v>
      </c>
      <c r="D44" s="72"/>
      <c r="E44" s="72"/>
      <c r="F44" s="72"/>
      <c r="G44" s="72"/>
      <c r="H44" s="72">
        <v>37.7</v>
      </c>
      <c r="I44" s="72"/>
      <c r="J44" s="72"/>
      <c r="K44" s="72"/>
      <c r="L44" s="72"/>
      <c r="M44" s="72"/>
      <c r="N44" s="72"/>
      <c r="O44" s="72"/>
      <c r="P44" s="72">
        <v>0.1</v>
      </c>
      <c r="Q44" s="72"/>
      <c r="R44" s="72">
        <v>42</v>
      </c>
      <c r="S44" s="72"/>
      <c r="T44" s="72"/>
      <c r="U44" s="72">
        <v>5.3</v>
      </c>
      <c r="V44" s="72"/>
      <c r="W44" s="72">
        <v>1.3</v>
      </c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86.4</v>
      </c>
      <c r="AG44" s="72">
        <f t="shared" si="8"/>
        <v>174.30000000000004</v>
      </c>
      <c r="AI44" s="21"/>
    </row>
    <row r="45" spans="1:35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  <c r="AI45" s="21"/>
    </row>
    <row r="46" spans="1:35" s="18" customFormat="1" ht="15.75">
      <c r="A46" s="98" t="s">
        <v>23</v>
      </c>
      <c r="B46" s="97">
        <f aca="true" t="shared" si="9" ref="B46:AD46">B40-B41-B42-B43-B44-B45</f>
        <v>34.39999999999995</v>
      </c>
      <c r="C46" s="97">
        <v>8.500000000000355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13.599999999999994</v>
      </c>
      <c r="I46" s="72">
        <f t="shared" si="9"/>
        <v>0</v>
      </c>
      <c r="J46" s="72">
        <f t="shared" si="9"/>
        <v>2.9</v>
      </c>
      <c r="K46" s="72">
        <f t="shared" si="9"/>
        <v>0</v>
      </c>
      <c r="L46" s="72">
        <f t="shared" si="9"/>
        <v>14.899999999999977</v>
      </c>
      <c r="M46" s="72">
        <f t="shared" si="9"/>
        <v>0</v>
      </c>
      <c r="N46" s="72">
        <f t="shared" si="9"/>
        <v>0</v>
      </c>
      <c r="O46" s="72">
        <f t="shared" si="9"/>
        <v>0</v>
      </c>
      <c r="P46" s="72">
        <f t="shared" si="9"/>
        <v>0.19999999999999998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2.4999999999999547</v>
      </c>
      <c r="V46" s="72">
        <f t="shared" si="9"/>
        <v>0</v>
      </c>
      <c r="W46" s="72">
        <f t="shared" si="9"/>
        <v>6.661338147750939E-16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34.09999999999992</v>
      </c>
      <c r="AG46" s="72">
        <f>AG40-AG41-AG42-AG43-AG44-AG45</f>
        <v>8.80000000000041</v>
      </c>
      <c r="AI46" s="21"/>
    </row>
    <row r="47" spans="1:35" s="18" customFormat="1" ht="17.25" customHeight="1">
      <c r="A47" s="96" t="s">
        <v>43</v>
      </c>
      <c r="B47" s="99">
        <f>6591+15.1-20+7.6-100</f>
        <v>6493.700000000001</v>
      </c>
      <c r="C47" s="97">
        <v>2862.6000000000004</v>
      </c>
      <c r="D47" s="72"/>
      <c r="E47" s="80"/>
      <c r="F47" s="80">
        <v>244.7</v>
      </c>
      <c r="G47" s="80">
        <v>2133</v>
      </c>
      <c r="H47" s="80"/>
      <c r="I47" s="80"/>
      <c r="J47" s="80">
        <v>95.9</v>
      </c>
      <c r="K47" s="80">
        <v>222.1</v>
      </c>
      <c r="L47" s="80"/>
      <c r="M47" s="80"/>
      <c r="N47" s="80">
        <v>227.2</v>
      </c>
      <c r="O47" s="80"/>
      <c r="P47" s="80">
        <v>5.1</v>
      </c>
      <c r="Q47" s="80">
        <v>12.2</v>
      </c>
      <c r="R47" s="80">
        <v>1874.9</v>
      </c>
      <c r="S47" s="80">
        <v>12</v>
      </c>
      <c r="T47" s="80">
        <v>212.4</v>
      </c>
      <c r="U47" s="80">
        <v>688.5</v>
      </c>
      <c r="V47" s="80">
        <f>49.9-8.5</f>
        <v>41.4</v>
      </c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5769.399999999999</v>
      </c>
      <c r="AG47" s="72">
        <f>B47+C47-AF47</f>
        <v>3586.9000000000024</v>
      </c>
      <c r="AI47" s="21"/>
    </row>
    <row r="48" spans="1:35" s="18" customFormat="1" ht="15.75">
      <c r="A48" s="98" t="s">
        <v>5</v>
      </c>
      <c r="B48" s="97">
        <v>54.4</v>
      </c>
      <c r="C48" s="97">
        <v>54.4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>
        <v>0</v>
      </c>
      <c r="V48" s="80">
        <v>19.3</v>
      </c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19.3</v>
      </c>
      <c r="AG48" s="72">
        <f>B48+C48-AF48</f>
        <v>89.5</v>
      </c>
      <c r="AI48" s="21"/>
    </row>
    <row r="49" spans="1:35" s="18" customFormat="1" ht="15.75">
      <c r="A49" s="98" t="s">
        <v>16</v>
      </c>
      <c r="B49" s="97">
        <f>5882+15.1-20+7.6</f>
        <v>5884.700000000001</v>
      </c>
      <c r="C49" s="97">
        <v>1470.6000000000004</v>
      </c>
      <c r="D49" s="72"/>
      <c r="E49" s="72"/>
      <c r="F49" s="72">
        <v>244.7</v>
      </c>
      <c r="G49" s="72">
        <v>2133</v>
      </c>
      <c r="H49" s="72"/>
      <c r="I49" s="72"/>
      <c r="J49" s="72">
        <v>95.9</v>
      </c>
      <c r="K49" s="72">
        <v>222</v>
      </c>
      <c r="L49" s="72"/>
      <c r="M49" s="72"/>
      <c r="N49" s="72">
        <f>164.6+40.2</f>
        <v>204.8</v>
      </c>
      <c r="O49" s="72"/>
      <c r="P49" s="72">
        <v>5.1</v>
      </c>
      <c r="Q49" s="72"/>
      <c r="R49" s="72">
        <f>1874.9-19.1</f>
        <v>1855.8000000000002</v>
      </c>
      <c r="S49" s="72">
        <v>12</v>
      </c>
      <c r="T49" s="72">
        <v>212.4</v>
      </c>
      <c r="U49" s="72">
        <v>439.2</v>
      </c>
      <c r="V49" s="72">
        <f>30.6-8.5-2</f>
        <v>20.1</v>
      </c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5445</v>
      </c>
      <c r="AG49" s="72">
        <f>B49+C49-AF49</f>
        <v>1910.300000000001</v>
      </c>
      <c r="AI49" s="21"/>
    </row>
    <row r="50" spans="1:35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  <c r="AI50" s="21"/>
    </row>
    <row r="51" spans="1:35" s="18" customFormat="1" ht="15.75">
      <c r="A51" s="107" t="s">
        <v>23</v>
      </c>
      <c r="B51" s="97">
        <f aca="true" t="shared" si="10" ref="B51:AD51">B47-B48-B49</f>
        <v>554.6000000000004</v>
      </c>
      <c r="C51" s="97">
        <v>1337.6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0.09999999999999432</v>
      </c>
      <c r="L51" s="72">
        <f t="shared" si="10"/>
        <v>0</v>
      </c>
      <c r="M51" s="72">
        <f t="shared" si="10"/>
        <v>0</v>
      </c>
      <c r="N51" s="72">
        <f t="shared" si="10"/>
        <v>22.399999999999977</v>
      </c>
      <c r="O51" s="72">
        <f t="shared" si="10"/>
        <v>0</v>
      </c>
      <c r="P51" s="72">
        <f t="shared" si="10"/>
        <v>0</v>
      </c>
      <c r="Q51" s="72">
        <f t="shared" si="10"/>
        <v>12.2</v>
      </c>
      <c r="R51" s="72">
        <f t="shared" si="10"/>
        <v>19.09999999999991</v>
      </c>
      <c r="S51" s="72">
        <f t="shared" si="10"/>
        <v>0</v>
      </c>
      <c r="T51" s="72">
        <f t="shared" si="10"/>
        <v>0</v>
      </c>
      <c r="U51" s="72">
        <f t="shared" si="10"/>
        <v>249.3</v>
      </c>
      <c r="V51" s="72">
        <f t="shared" si="10"/>
        <v>1.9999999999999964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305.0999999999999</v>
      </c>
      <c r="AG51" s="72">
        <f>AG47-AG49-AG48</f>
        <v>1587.1000000000013</v>
      </c>
      <c r="AI51" s="21"/>
    </row>
    <row r="52" spans="1:35" s="18" customFormat="1" ht="15" customHeight="1">
      <c r="A52" s="96" t="s">
        <v>0</v>
      </c>
      <c r="B52" s="97">
        <f>14853.4-85.6+44.8-3000-2000</f>
        <v>9812.599999999999</v>
      </c>
      <c r="C52" s="97">
        <v>11149.999999999996</v>
      </c>
      <c r="D52" s="72"/>
      <c r="E52" s="72">
        <v>3.5</v>
      </c>
      <c r="F52" s="72">
        <v>157.9</v>
      </c>
      <c r="G52" s="72">
        <v>215.4</v>
      </c>
      <c r="H52" s="72">
        <v>10546.5</v>
      </c>
      <c r="I52" s="72"/>
      <c r="J52" s="72">
        <v>1149.5</v>
      </c>
      <c r="K52" s="72">
        <v>25.1</v>
      </c>
      <c r="L52" s="72"/>
      <c r="M52" s="72">
        <v>98.2</v>
      </c>
      <c r="N52" s="72">
        <v>543.6</v>
      </c>
      <c r="O52" s="72"/>
      <c r="P52" s="72"/>
      <c r="Q52" s="72">
        <v>176.7</v>
      </c>
      <c r="R52" s="72">
        <v>29.8</v>
      </c>
      <c r="S52" s="72">
        <v>75.6</v>
      </c>
      <c r="T52" s="72"/>
      <c r="U52" s="72">
        <v>1142.3</v>
      </c>
      <c r="V52" s="72">
        <v>18.4</v>
      </c>
      <c r="W52" s="72">
        <v>2564.5</v>
      </c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16747</v>
      </c>
      <c r="AG52" s="72">
        <f aca="true" t="shared" si="11" ref="AG52:AG59">B52+C52-AF52</f>
        <v>4215.599999999995</v>
      </c>
      <c r="AI52" s="21"/>
    </row>
    <row r="53" spans="1:35" s="18" customFormat="1" ht="15" customHeight="1">
      <c r="A53" s="98" t="s">
        <v>2</v>
      </c>
      <c r="B53" s="97">
        <f>2612.5-1000</f>
        <v>1612.5</v>
      </c>
      <c r="C53" s="97">
        <v>903.3999999999996</v>
      </c>
      <c r="D53" s="72"/>
      <c r="E53" s="72"/>
      <c r="F53" s="72"/>
      <c r="G53" s="72"/>
      <c r="H53" s="72">
        <v>0.7</v>
      </c>
      <c r="I53" s="72"/>
      <c r="J53" s="72">
        <v>1149.5</v>
      </c>
      <c r="K53" s="72"/>
      <c r="L53" s="72"/>
      <c r="M53" s="72"/>
      <c r="N53" s="72">
        <v>2.1</v>
      </c>
      <c r="O53" s="72"/>
      <c r="P53" s="72"/>
      <c r="Q53" s="72">
        <v>129.3</v>
      </c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1281.6</v>
      </c>
      <c r="AG53" s="72">
        <f t="shared" si="11"/>
        <v>1234.2999999999997</v>
      </c>
      <c r="AI53" s="21"/>
    </row>
    <row r="54" spans="1:35" s="18" customFormat="1" ht="15" customHeight="1">
      <c r="A54" s="96" t="s">
        <v>9</v>
      </c>
      <c r="B54" s="105">
        <f>2393.5-20-119.8</f>
        <v>2253.7</v>
      </c>
      <c r="C54" s="97">
        <v>843.7999999999993</v>
      </c>
      <c r="D54" s="72"/>
      <c r="E54" s="72"/>
      <c r="F54" s="72"/>
      <c r="G54" s="72">
        <v>185.8</v>
      </c>
      <c r="H54" s="72">
        <v>10</v>
      </c>
      <c r="I54" s="72"/>
      <c r="J54" s="72">
        <v>194.2</v>
      </c>
      <c r="K54" s="72"/>
      <c r="L54" s="72">
        <v>438.5</v>
      </c>
      <c r="M54" s="72">
        <v>103.2</v>
      </c>
      <c r="N54" s="72">
        <v>2.9</v>
      </c>
      <c r="O54" s="72"/>
      <c r="P54" s="72">
        <v>164.1</v>
      </c>
      <c r="Q54" s="72">
        <v>18.2</v>
      </c>
      <c r="R54" s="72">
        <v>9.3</v>
      </c>
      <c r="S54" s="72"/>
      <c r="T54" s="72">
        <v>153.4</v>
      </c>
      <c r="U54" s="72">
        <v>826.8</v>
      </c>
      <c r="V54" s="72">
        <v>25.7</v>
      </c>
      <c r="W54" s="72">
        <f>38.5+0.2</f>
        <v>38.7</v>
      </c>
      <c r="X54" s="72">
        <v>-19.8</v>
      </c>
      <c r="Y54" s="72"/>
      <c r="Z54" s="72"/>
      <c r="AA54" s="72"/>
      <c r="AB54" s="72"/>
      <c r="AC54" s="72"/>
      <c r="AD54" s="72"/>
      <c r="AE54" s="72"/>
      <c r="AF54" s="72">
        <f t="shared" si="1"/>
        <v>2150.9999999999995</v>
      </c>
      <c r="AG54" s="72">
        <f t="shared" si="11"/>
        <v>946.4999999999995</v>
      </c>
      <c r="AH54" s="21"/>
      <c r="AI54" s="21"/>
    </row>
    <row r="55" spans="1:35" s="18" customFormat="1" ht="15.75">
      <c r="A55" s="98" t="s">
        <v>5</v>
      </c>
      <c r="B55" s="97">
        <v>1199.2</v>
      </c>
      <c r="C55" s="97">
        <v>230.39999999999986</v>
      </c>
      <c r="D55" s="72"/>
      <c r="E55" s="72"/>
      <c r="F55" s="72"/>
      <c r="G55" s="72"/>
      <c r="H55" s="72"/>
      <c r="I55" s="72"/>
      <c r="J55" s="72"/>
      <c r="K55" s="72"/>
      <c r="L55" s="72">
        <v>384.9</v>
      </c>
      <c r="M55" s="72">
        <v>103.2</v>
      </c>
      <c r="N55" s="72"/>
      <c r="O55" s="72"/>
      <c r="P55" s="72">
        <v>27.1</v>
      </c>
      <c r="Q55" s="72"/>
      <c r="R55" s="72"/>
      <c r="S55" s="72"/>
      <c r="T55" s="72">
        <v>151.5</v>
      </c>
      <c r="U55" s="72">
        <v>461.6</v>
      </c>
      <c r="V55" s="72"/>
      <c r="W55" s="72">
        <f>16.4-0.5</f>
        <v>15.899999999999999</v>
      </c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1144.2</v>
      </c>
      <c r="AG55" s="72">
        <f t="shared" si="11"/>
        <v>285.39999999999986</v>
      </c>
      <c r="AH55" s="21"/>
      <c r="AI55" s="21"/>
    </row>
    <row r="56" spans="1:35" s="18" customFormat="1" ht="15" customHeight="1">
      <c r="A56" s="98" t="s">
        <v>1</v>
      </c>
      <c r="B56" s="97">
        <f>3+1.9</f>
        <v>4.9</v>
      </c>
      <c r="C56" s="97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>
        <v>3</v>
      </c>
      <c r="R56" s="72"/>
      <c r="S56" s="72"/>
      <c r="T56" s="72">
        <v>1.9</v>
      </c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4.9</v>
      </c>
      <c r="AG56" s="72">
        <f t="shared" si="11"/>
        <v>0</v>
      </c>
      <c r="AH56" s="21"/>
      <c r="AI56" s="21"/>
    </row>
    <row r="57" spans="1:35" s="18" customFormat="1" ht="15.75">
      <c r="A57" s="98" t="s">
        <v>2</v>
      </c>
      <c r="B57" s="99">
        <v>265.2</v>
      </c>
      <c r="C57" s="97">
        <v>406.1</v>
      </c>
      <c r="D57" s="72"/>
      <c r="E57" s="72"/>
      <c r="F57" s="72"/>
      <c r="G57" s="72"/>
      <c r="H57" s="72"/>
      <c r="I57" s="72"/>
      <c r="J57" s="72">
        <v>6.6</v>
      </c>
      <c r="K57" s="72"/>
      <c r="L57" s="72">
        <v>52.2</v>
      </c>
      <c r="M57" s="72"/>
      <c r="N57" s="72"/>
      <c r="O57" s="72"/>
      <c r="P57" s="72"/>
      <c r="Q57" s="72"/>
      <c r="R57" s="72"/>
      <c r="S57" s="72"/>
      <c r="T57" s="72"/>
      <c r="U57" s="72">
        <v>342.8</v>
      </c>
      <c r="V57" s="72">
        <f>0.4+3.3</f>
        <v>3.6999999999999997</v>
      </c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405.3</v>
      </c>
      <c r="AG57" s="72">
        <f t="shared" si="11"/>
        <v>265.99999999999994</v>
      </c>
      <c r="AI57" s="21"/>
    </row>
    <row r="58" spans="1:35" s="18" customFormat="1" ht="15.75">
      <c r="A58" s="98" t="s">
        <v>16</v>
      </c>
      <c r="B58" s="99">
        <v>17</v>
      </c>
      <c r="C58" s="97">
        <v>8.699999999999996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0</v>
      </c>
      <c r="AG58" s="72">
        <f t="shared" si="11"/>
        <v>25.699999999999996</v>
      </c>
      <c r="AI58" s="21"/>
    </row>
    <row r="59" spans="1:35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  <c r="AI59" s="21"/>
    </row>
    <row r="60" spans="1:35" s="18" customFormat="1" ht="15.75">
      <c r="A60" s="98" t="s">
        <v>23</v>
      </c>
      <c r="B60" s="97">
        <f aca="true" t="shared" si="12" ref="B60:AD60">B54-B55-B57-B59-B56-B58</f>
        <v>767.3999999999997</v>
      </c>
      <c r="C60" s="97">
        <v>198.5999999999994</v>
      </c>
      <c r="D60" s="72">
        <f t="shared" si="12"/>
        <v>0</v>
      </c>
      <c r="E60" s="72">
        <f t="shared" si="12"/>
        <v>0</v>
      </c>
      <c r="F60" s="72">
        <f t="shared" si="12"/>
        <v>0</v>
      </c>
      <c r="G60" s="72">
        <f t="shared" si="12"/>
        <v>185.8</v>
      </c>
      <c r="H60" s="72">
        <f t="shared" si="12"/>
        <v>10</v>
      </c>
      <c r="I60" s="72">
        <f t="shared" si="12"/>
        <v>0</v>
      </c>
      <c r="J60" s="72">
        <f t="shared" si="12"/>
        <v>187.6</v>
      </c>
      <c r="K60" s="72">
        <f t="shared" si="12"/>
        <v>0</v>
      </c>
      <c r="L60" s="72">
        <f t="shared" si="12"/>
        <v>1.40000000000002</v>
      </c>
      <c r="M60" s="72">
        <f t="shared" si="12"/>
        <v>0</v>
      </c>
      <c r="N60" s="72">
        <f t="shared" si="12"/>
        <v>2.9</v>
      </c>
      <c r="O60" s="72">
        <f t="shared" si="12"/>
        <v>0</v>
      </c>
      <c r="P60" s="72">
        <f t="shared" si="12"/>
        <v>137</v>
      </c>
      <c r="Q60" s="72">
        <f t="shared" si="12"/>
        <v>15.2</v>
      </c>
      <c r="R60" s="72">
        <f t="shared" si="12"/>
        <v>9.3</v>
      </c>
      <c r="S60" s="72">
        <f t="shared" si="12"/>
        <v>0</v>
      </c>
      <c r="T60" s="72">
        <f t="shared" si="12"/>
        <v>5.773159728050814E-15</v>
      </c>
      <c r="U60" s="72">
        <f t="shared" si="12"/>
        <v>22.39999999999992</v>
      </c>
      <c r="V60" s="72">
        <f t="shared" si="12"/>
        <v>22</v>
      </c>
      <c r="W60" s="72">
        <f t="shared" si="12"/>
        <v>22.800000000000004</v>
      </c>
      <c r="X60" s="72">
        <f t="shared" si="12"/>
        <v>-19.8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596.5999999999996</v>
      </c>
      <c r="AG60" s="72">
        <f>AG54-AG55-AG57-AG59-AG56-AG58</f>
        <v>369.39999999999975</v>
      </c>
      <c r="AI60" s="21"/>
    </row>
    <row r="61" spans="1:35" s="18" customFormat="1" ht="15" customHeight="1">
      <c r="A61" s="96" t="s">
        <v>10</v>
      </c>
      <c r="B61" s="97">
        <v>92</v>
      </c>
      <c r="C61" s="97">
        <v>37.099999999999994</v>
      </c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>
        <v>21</v>
      </c>
      <c r="O61" s="72"/>
      <c r="P61" s="72">
        <v>7.7</v>
      </c>
      <c r="Q61" s="72">
        <v>15.6</v>
      </c>
      <c r="R61" s="72"/>
      <c r="S61" s="72"/>
      <c r="T61" s="72">
        <v>10</v>
      </c>
      <c r="U61" s="72"/>
      <c r="V61" s="72">
        <v>15</v>
      </c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69.3</v>
      </c>
      <c r="AG61" s="72">
        <f aca="true" t="shared" si="14" ref="AG61:AG67">B61+C61-AF61</f>
        <v>59.8</v>
      </c>
      <c r="AI61" s="21"/>
    </row>
    <row r="62" spans="1:35" s="18" customFormat="1" ht="15" customHeight="1">
      <c r="A62" s="96" t="s">
        <v>11</v>
      </c>
      <c r="B62" s="97">
        <f>5806.6-33</f>
        <v>5773.6</v>
      </c>
      <c r="C62" s="97">
        <v>3509</v>
      </c>
      <c r="D62" s="72"/>
      <c r="E62" s="72"/>
      <c r="F62" s="72">
        <v>98.2</v>
      </c>
      <c r="G62" s="72"/>
      <c r="H62" s="72"/>
      <c r="I62" s="72"/>
      <c r="J62" s="72">
        <v>182.6</v>
      </c>
      <c r="K62" s="72">
        <v>0.5</v>
      </c>
      <c r="L62" s="72">
        <v>835.2</v>
      </c>
      <c r="M62" s="72">
        <v>180.6</v>
      </c>
      <c r="N62" s="72">
        <v>94</v>
      </c>
      <c r="O62" s="72"/>
      <c r="P62" s="72"/>
      <c r="Q62" s="72"/>
      <c r="R62" s="72">
        <v>438</v>
      </c>
      <c r="S62" s="72"/>
      <c r="T62" s="72">
        <v>427.3</v>
      </c>
      <c r="U62" s="72">
        <v>1076.3</v>
      </c>
      <c r="V62" s="72">
        <v>1039.4</v>
      </c>
      <c r="W62" s="72">
        <v>79.1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4451.200000000001</v>
      </c>
      <c r="AG62" s="72">
        <f t="shared" si="14"/>
        <v>4831.4</v>
      </c>
      <c r="AI62" s="21"/>
    </row>
    <row r="63" spans="1:35" s="18" customFormat="1" ht="15.75">
      <c r="A63" s="98" t="s">
        <v>5</v>
      </c>
      <c r="B63" s="97">
        <v>2436.6</v>
      </c>
      <c r="C63" s="97">
        <v>704.3000000000002</v>
      </c>
      <c r="D63" s="72"/>
      <c r="E63" s="72"/>
      <c r="F63" s="72"/>
      <c r="G63" s="72"/>
      <c r="H63" s="72"/>
      <c r="I63" s="72"/>
      <c r="J63" s="72"/>
      <c r="K63" s="72"/>
      <c r="L63" s="72">
        <v>835.2</v>
      </c>
      <c r="M63" s="72"/>
      <c r="N63" s="72"/>
      <c r="O63" s="72"/>
      <c r="P63" s="72"/>
      <c r="Q63" s="72"/>
      <c r="R63" s="72"/>
      <c r="S63" s="72"/>
      <c r="T63" s="72">
        <v>313.7</v>
      </c>
      <c r="U63" s="72">
        <v>945</v>
      </c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2093.9</v>
      </c>
      <c r="AG63" s="72">
        <f t="shared" si="14"/>
        <v>1047</v>
      </c>
      <c r="AH63" s="114"/>
      <c r="AI63" s="21"/>
    </row>
    <row r="64" spans="1:35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  <c r="AI64" s="21"/>
    </row>
    <row r="65" spans="1:35" s="18" customFormat="1" ht="15.75">
      <c r="A65" s="98" t="s">
        <v>1</v>
      </c>
      <c r="B65" s="97">
        <v>539.2</v>
      </c>
      <c r="C65" s="97">
        <v>496.9000000000001</v>
      </c>
      <c r="D65" s="72"/>
      <c r="E65" s="72"/>
      <c r="F65" s="72"/>
      <c r="G65" s="72"/>
      <c r="H65" s="72"/>
      <c r="I65" s="72"/>
      <c r="J65" s="72">
        <v>105</v>
      </c>
      <c r="K65" s="72"/>
      <c r="L65" s="72"/>
      <c r="M65" s="72"/>
      <c r="N65" s="72"/>
      <c r="O65" s="72"/>
      <c r="P65" s="72"/>
      <c r="Q65" s="72"/>
      <c r="R65" s="72">
        <v>116.2</v>
      </c>
      <c r="S65" s="72"/>
      <c r="T65" s="72"/>
      <c r="U65" s="72"/>
      <c r="V65" s="72">
        <v>245</v>
      </c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466.2</v>
      </c>
      <c r="AG65" s="72">
        <f t="shared" si="14"/>
        <v>569.9000000000001</v>
      </c>
      <c r="AH65" s="21"/>
      <c r="AI65" s="21"/>
    </row>
    <row r="66" spans="1:35" s="18" customFormat="1" ht="15.75">
      <c r="A66" s="98" t="s">
        <v>2</v>
      </c>
      <c r="B66" s="97">
        <v>149.3</v>
      </c>
      <c r="C66" s="97">
        <v>114.80000000000007</v>
      </c>
      <c r="D66" s="72"/>
      <c r="E66" s="72"/>
      <c r="F66" s="72"/>
      <c r="G66" s="72"/>
      <c r="H66" s="72"/>
      <c r="I66" s="72"/>
      <c r="J66" s="72">
        <v>8.8</v>
      </c>
      <c r="K66" s="72">
        <v>0.5</v>
      </c>
      <c r="L66" s="72"/>
      <c r="M66" s="72"/>
      <c r="N66" s="72">
        <v>18.5</v>
      </c>
      <c r="O66" s="72"/>
      <c r="P66" s="72"/>
      <c r="Q66" s="72"/>
      <c r="R66" s="72">
        <v>22.5</v>
      </c>
      <c r="S66" s="72"/>
      <c r="T66" s="72">
        <v>0.1</v>
      </c>
      <c r="U66" s="72"/>
      <c r="V66" s="72">
        <v>5.1</v>
      </c>
      <c r="W66" s="72">
        <v>69.1</v>
      </c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124.6</v>
      </c>
      <c r="AG66" s="72">
        <f t="shared" si="14"/>
        <v>139.50000000000009</v>
      </c>
      <c r="AI66" s="21"/>
    </row>
    <row r="67" spans="1:35" s="18" customFormat="1" ht="15.75">
      <c r="A67" s="98" t="s">
        <v>16</v>
      </c>
      <c r="B67" s="97">
        <v>550</v>
      </c>
      <c r="C67" s="97">
        <v>437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>
        <v>245</v>
      </c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245</v>
      </c>
      <c r="AG67" s="72">
        <f t="shared" si="14"/>
        <v>742</v>
      </c>
      <c r="AI67" s="21"/>
    </row>
    <row r="68" spans="1:35" s="18" customFormat="1" ht="15.75">
      <c r="A68" s="98" t="s">
        <v>23</v>
      </c>
      <c r="B68" s="97">
        <f aca="true" t="shared" si="15" ref="B68:AD68">B62-B63-B66-B67-B65-B64</f>
        <v>2098.5</v>
      </c>
      <c r="C68" s="97">
        <v>1755.9999999999995</v>
      </c>
      <c r="D68" s="72">
        <f t="shared" si="15"/>
        <v>0</v>
      </c>
      <c r="E68" s="72">
        <f t="shared" si="15"/>
        <v>0</v>
      </c>
      <c r="F68" s="72">
        <f t="shared" si="15"/>
        <v>98.2</v>
      </c>
      <c r="G68" s="72">
        <f t="shared" si="15"/>
        <v>0</v>
      </c>
      <c r="H68" s="72">
        <f t="shared" si="15"/>
        <v>0</v>
      </c>
      <c r="I68" s="72">
        <f t="shared" si="15"/>
        <v>0</v>
      </c>
      <c r="J68" s="72">
        <f t="shared" si="15"/>
        <v>68.79999999999998</v>
      </c>
      <c r="K68" s="72">
        <f t="shared" si="15"/>
        <v>0</v>
      </c>
      <c r="L68" s="72">
        <f t="shared" si="15"/>
        <v>0</v>
      </c>
      <c r="M68" s="72">
        <f t="shared" si="15"/>
        <v>180.6</v>
      </c>
      <c r="N68" s="72">
        <f t="shared" si="15"/>
        <v>75.5</v>
      </c>
      <c r="O68" s="72">
        <f t="shared" si="15"/>
        <v>0</v>
      </c>
      <c r="P68" s="72">
        <f t="shared" si="15"/>
        <v>0</v>
      </c>
      <c r="Q68" s="72">
        <f t="shared" si="15"/>
        <v>0</v>
      </c>
      <c r="R68" s="72">
        <f t="shared" si="15"/>
        <v>54.3</v>
      </c>
      <c r="S68" s="72">
        <f t="shared" si="15"/>
        <v>0</v>
      </c>
      <c r="T68" s="72">
        <f t="shared" si="15"/>
        <v>113.50000000000003</v>
      </c>
      <c r="U68" s="72">
        <f t="shared" si="15"/>
        <v>131.29999999999995</v>
      </c>
      <c r="V68" s="72">
        <f t="shared" si="15"/>
        <v>789.3000000000002</v>
      </c>
      <c r="W68" s="72">
        <f t="shared" si="15"/>
        <v>10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1521.5000000000002</v>
      </c>
      <c r="AG68" s="72">
        <f>AG62-AG63-AG66-AG67-AG65-AG64</f>
        <v>2332.9999999999995</v>
      </c>
      <c r="AI68" s="21"/>
    </row>
    <row r="69" spans="1:35" s="18" customFormat="1" ht="31.5">
      <c r="A69" s="96" t="s">
        <v>45</v>
      </c>
      <c r="B69" s="97">
        <v>2336.1</v>
      </c>
      <c r="C69" s="97">
        <v>329.20000000000005</v>
      </c>
      <c r="D69" s="72"/>
      <c r="E69" s="72"/>
      <c r="F69" s="72"/>
      <c r="G69" s="72">
        <v>994.8</v>
      </c>
      <c r="H69" s="72"/>
      <c r="I69" s="72"/>
      <c r="J69" s="72"/>
      <c r="K69" s="72"/>
      <c r="L69" s="72"/>
      <c r="M69" s="72"/>
      <c r="N69" s="72"/>
      <c r="O69" s="72"/>
      <c r="P69" s="72"/>
      <c r="Q69" s="72">
        <f>887.7</f>
        <v>887.7</v>
      </c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>
        <f t="shared" si="13"/>
        <v>1882.5</v>
      </c>
      <c r="AG69" s="89">
        <f aca="true" t="shared" si="16" ref="AG69:AG92">B69+C69-AF69</f>
        <v>782.8000000000002</v>
      </c>
      <c r="AI69" s="21"/>
    </row>
    <row r="70" spans="1:35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>
        <f t="shared" si="13"/>
        <v>0</v>
      </c>
      <c r="AG70" s="89">
        <f t="shared" si="16"/>
        <v>0</v>
      </c>
      <c r="AI70" s="21"/>
    </row>
    <row r="71" spans="1:50" s="18" customFormat="1" ht="31.5">
      <c r="A71" s="96" t="s">
        <v>46</v>
      </c>
      <c r="B71" s="97">
        <f>85.6+2125</f>
        <v>2210.6</v>
      </c>
      <c r="C71" s="109">
        <v>450</v>
      </c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>
        <v>430.7</v>
      </c>
      <c r="V71" s="80">
        <v>600.4</v>
      </c>
      <c r="W71" s="80"/>
      <c r="X71" s="80"/>
      <c r="Y71" s="80"/>
      <c r="Z71" s="80"/>
      <c r="AA71" s="80"/>
      <c r="AB71" s="80"/>
      <c r="AC71" s="80"/>
      <c r="AD71" s="80"/>
      <c r="AE71" s="80"/>
      <c r="AF71" s="72">
        <f t="shared" si="13"/>
        <v>1031.1</v>
      </c>
      <c r="AG71" s="89">
        <f t="shared" si="16"/>
        <v>1629.5</v>
      </c>
      <c r="AH71" s="110"/>
      <c r="AI71" s="21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</row>
    <row r="72" spans="1:35" s="18" customFormat="1" ht="15" customHeight="1">
      <c r="A72" s="96" t="s">
        <v>47</v>
      </c>
      <c r="B72" s="105">
        <f>1918.5-22.7-7.6-100-50-97.7</f>
        <v>1640.5</v>
      </c>
      <c r="C72" s="97">
        <v>2213.2999999999997</v>
      </c>
      <c r="D72" s="72"/>
      <c r="E72" s="72">
        <v>209.6</v>
      </c>
      <c r="F72" s="72">
        <v>97</v>
      </c>
      <c r="G72" s="72">
        <v>18.7</v>
      </c>
      <c r="H72" s="72"/>
      <c r="I72" s="72"/>
      <c r="J72" s="72">
        <v>14.1</v>
      </c>
      <c r="K72" s="72">
        <v>18.1</v>
      </c>
      <c r="L72" s="72">
        <v>187.2</v>
      </c>
      <c r="M72" s="72">
        <v>14.7</v>
      </c>
      <c r="N72" s="72">
        <v>217.2</v>
      </c>
      <c r="O72" s="72">
        <v>174</v>
      </c>
      <c r="P72" s="72">
        <v>148.3</v>
      </c>
      <c r="Q72" s="72">
        <v>12.3</v>
      </c>
      <c r="R72" s="72">
        <v>23.4</v>
      </c>
      <c r="S72" s="72">
        <v>8.2</v>
      </c>
      <c r="T72" s="72">
        <v>431</v>
      </c>
      <c r="U72" s="72">
        <v>93.7</v>
      </c>
      <c r="V72" s="72">
        <v>8.8</v>
      </c>
      <c r="W72" s="72">
        <v>82</v>
      </c>
      <c r="X72" s="72"/>
      <c r="Y72" s="72"/>
      <c r="Z72" s="72"/>
      <c r="AA72" s="72"/>
      <c r="AB72" s="72"/>
      <c r="AC72" s="72"/>
      <c r="AD72" s="72"/>
      <c r="AE72" s="72"/>
      <c r="AF72" s="72">
        <f t="shared" si="13"/>
        <v>1758.3000000000002</v>
      </c>
      <c r="AG72" s="89">
        <f t="shared" si="16"/>
        <v>2095.4999999999995</v>
      </c>
      <c r="AI72" s="21"/>
    </row>
    <row r="73" spans="1:35" s="18" customFormat="1" ht="15" customHeight="1">
      <c r="A73" s="98" t="s">
        <v>5</v>
      </c>
      <c r="B73" s="97">
        <v>80.5</v>
      </c>
      <c r="C73" s="97">
        <v>0.09999999999999432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>
        <v>0.1</v>
      </c>
      <c r="W73" s="72">
        <v>80.5</v>
      </c>
      <c r="X73" s="72"/>
      <c r="Y73" s="72"/>
      <c r="Z73" s="72"/>
      <c r="AA73" s="72"/>
      <c r="AB73" s="72"/>
      <c r="AC73" s="72"/>
      <c r="AD73" s="72"/>
      <c r="AE73" s="72"/>
      <c r="AF73" s="72">
        <f t="shared" si="13"/>
        <v>80.6</v>
      </c>
      <c r="AG73" s="89">
        <f t="shared" si="16"/>
        <v>0</v>
      </c>
      <c r="AI73" s="21"/>
    </row>
    <row r="74" spans="1:35" s="18" customFormat="1" ht="15" customHeight="1">
      <c r="A74" s="98" t="s">
        <v>2</v>
      </c>
      <c r="B74" s="97">
        <f>41+308.4+0.1</f>
        <v>349.5</v>
      </c>
      <c r="C74" s="97">
        <v>332.5999999999999</v>
      </c>
      <c r="D74" s="72"/>
      <c r="E74" s="72">
        <v>6.2</v>
      </c>
      <c r="F74" s="72">
        <v>38.5</v>
      </c>
      <c r="G74" s="72"/>
      <c r="H74" s="72"/>
      <c r="I74" s="72"/>
      <c r="J74" s="72"/>
      <c r="K74" s="72"/>
      <c r="L74" s="72">
        <f>59+95</f>
        <v>154</v>
      </c>
      <c r="M74" s="72">
        <v>14.7</v>
      </c>
      <c r="N74" s="72">
        <f>0.7+0.2</f>
        <v>0.8999999999999999</v>
      </c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>
        <f t="shared" si="13"/>
        <v>214.29999999999998</v>
      </c>
      <c r="AG74" s="89">
        <f t="shared" si="16"/>
        <v>467.79999999999995</v>
      </c>
      <c r="AI74" s="21"/>
    </row>
    <row r="75" spans="1:35" s="18" customFormat="1" ht="15" customHeight="1">
      <c r="A75" s="98" t="s">
        <v>16</v>
      </c>
      <c r="B75" s="97">
        <f>11.6+10+23.4</f>
        <v>45</v>
      </c>
      <c r="C75" s="97">
        <v>17.8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>
        <v>23.3</v>
      </c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>
        <f t="shared" si="13"/>
        <v>23.3</v>
      </c>
      <c r="AG75" s="89">
        <f t="shared" si="16"/>
        <v>39.5</v>
      </c>
      <c r="AI75" s="21"/>
    </row>
    <row r="76" spans="1:35" s="112" customFormat="1" ht="15.75">
      <c r="A76" s="111" t="s">
        <v>48</v>
      </c>
      <c r="B76" s="97">
        <f>185.5</f>
        <v>185.5</v>
      </c>
      <c r="C76" s="97">
        <v>30.599999999999994</v>
      </c>
      <c r="D76" s="72"/>
      <c r="E76" s="80"/>
      <c r="F76" s="80"/>
      <c r="G76" s="80">
        <v>13.9</v>
      </c>
      <c r="H76" s="80"/>
      <c r="I76" s="80"/>
      <c r="J76" s="80"/>
      <c r="K76" s="80"/>
      <c r="L76" s="80"/>
      <c r="M76" s="80">
        <v>60.1</v>
      </c>
      <c r="N76" s="80"/>
      <c r="O76" s="80"/>
      <c r="P76" s="80"/>
      <c r="Q76" s="80"/>
      <c r="R76" s="80"/>
      <c r="S76" s="80"/>
      <c r="T76" s="80"/>
      <c r="U76" s="80"/>
      <c r="V76" s="80">
        <v>109.3</v>
      </c>
      <c r="W76" s="80"/>
      <c r="X76" s="80"/>
      <c r="Y76" s="80"/>
      <c r="Z76" s="80"/>
      <c r="AA76" s="80"/>
      <c r="AB76" s="80"/>
      <c r="AC76" s="80"/>
      <c r="AD76" s="80"/>
      <c r="AE76" s="80"/>
      <c r="AF76" s="72">
        <f t="shared" si="13"/>
        <v>183.3</v>
      </c>
      <c r="AG76" s="89">
        <f t="shared" si="16"/>
        <v>32.79999999999998</v>
      </c>
      <c r="AI76" s="21"/>
    </row>
    <row r="77" spans="1:35" s="112" customFormat="1" ht="15.75">
      <c r="A77" s="98" t="s">
        <v>5</v>
      </c>
      <c r="B77" s="97">
        <v>132.5</v>
      </c>
      <c r="C77" s="97">
        <v>3.8000000000000114</v>
      </c>
      <c r="D77" s="72"/>
      <c r="E77" s="80"/>
      <c r="F77" s="80"/>
      <c r="G77" s="80">
        <v>5.6</v>
      </c>
      <c r="H77" s="80"/>
      <c r="I77" s="80"/>
      <c r="J77" s="80"/>
      <c r="K77" s="80"/>
      <c r="L77" s="80"/>
      <c r="M77" s="80">
        <v>57.6</v>
      </c>
      <c r="N77" s="80"/>
      <c r="O77" s="80"/>
      <c r="P77" s="80"/>
      <c r="Q77" s="80"/>
      <c r="R77" s="80"/>
      <c r="S77" s="80"/>
      <c r="T77" s="80"/>
      <c r="U77" s="80"/>
      <c r="V77" s="80">
        <f>68.8-2.2</f>
        <v>66.6</v>
      </c>
      <c r="W77" s="80"/>
      <c r="X77" s="80"/>
      <c r="Y77" s="80"/>
      <c r="Z77" s="80"/>
      <c r="AA77" s="80"/>
      <c r="AB77" s="80"/>
      <c r="AC77" s="80"/>
      <c r="AD77" s="80"/>
      <c r="AE77" s="80"/>
      <c r="AF77" s="72">
        <f t="shared" si="13"/>
        <v>129.8</v>
      </c>
      <c r="AG77" s="89">
        <f t="shared" si="16"/>
        <v>6.5</v>
      </c>
      <c r="AI77" s="21"/>
    </row>
    <row r="78" spans="1:35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72">
        <f t="shared" si="13"/>
        <v>0</v>
      </c>
      <c r="AG78" s="89">
        <f t="shared" si="16"/>
        <v>0</v>
      </c>
      <c r="AI78" s="21"/>
    </row>
    <row r="79" spans="1:35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72">
        <f t="shared" si="13"/>
        <v>0</v>
      </c>
      <c r="AG79" s="89">
        <f t="shared" si="16"/>
        <v>0</v>
      </c>
      <c r="AI79" s="21"/>
    </row>
    <row r="80" spans="1:35" s="112" customFormat="1" ht="15.75">
      <c r="A80" s="98" t="s">
        <v>2</v>
      </c>
      <c r="B80" s="97">
        <v>2.1</v>
      </c>
      <c r="C80" s="97">
        <v>8.500000000000002</v>
      </c>
      <c r="D80" s="72"/>
      <c r="E80" s="80"/>
      <c r="F80" s="80"/>
      <c r="G80" s="80">
        <v>6</v>
      </c>
      <c r="H80" s="80"/>
      <c r="I80" s="80"/>
      <c r="J80" s="80"/>
      <c r="K80" s="80"/>
      <c r="L80" s="80"/>
      <c r="M80" s="80">
        <v>0.1</v>
      </c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72">
        <f t="shared" si="13"/>
        <v>6.1</v>
      </c>
      <c r="AG80" s="89">
        <f t="shared" si="16"/>
        <v>4.500000000000002</v>
      </c>
      <c r="AI80" s="21"/>
    </row>
    <row r="81" spans="1:35" s="112" customFormat="1" ht="15.75">
      <c r="A81" s="111" t="s">
        <v>49</v>
      </c>
      <c r="B81" s="97">
        <v>0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72">
        <f t="shared" si="13"/>
        <v>0</v>
      </c>
      <c r="AG81" s="89">
        <f t="shared" si="16"/>
        <v>0</v>
      </c>
      <c r="AI81" s="21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>
      <c r="A88" s="4" t="s">
        <v>58</v>
      </c>
      <c r="B88" s="22">
        <v>563</v>
      </c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>
        <v>563</v>
      </c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563</v>
      </c>
      <c r="AG88" s="72">
        <f t="shared" si="16"/>
        <v>0</v>
      </c>
      <c r="AH88" s="11"/>
      <c r="AI88" s="6"/>
    </row>
    <row r="89" spans="1:35" s="18" customFormat="1" ht="15.75">
      <c r="A89" s="96" t="s">
        <v>50</v>
      </c>
      <c r="B89" s="97">
        <f>17339.2+3000-1991</f>
        <v>18348.2</v>
      </c>
      <c r="C89" s="97">
        <v>2162.000000000001</v>
      </c>
      <c r="D89" s="72"/>
      <c r="E89" s="72">
        <v>60.3</v>
      </c>
      <c r="F89" s="72"/>
      <c r="G89" s="72">
        <v>794.6</v>
      </c>
      <c r="H89" s="72">
        <v>1729.3</v>
      </c>
      <c r="I89" s="72"/>
      <c r="J89" s="72"/>
      <c r="K89" s="72">
        <v>2357</v>
      </c>
      <c r="L89" s="72">
        <v>1916.4</v>
      </c>
      <c r="M89" s="72">
        <v>610.8</v>
      </c>
      <c r="N89" s="72">
        <v>432.8</v>
      </c>
      <c r="O89" s="72"/>
      <c r="P89" s="72"/>
      <c r="Q89" s="72">
        <v>777.3</v>
      </c>
      <c r="R89" s="72">
        <v>690.7</v>
      </c>
      <c r="S89" s="72">
        <v>110.8</v>
      </c>
      <c r="T89" s="72"/>
      <c r="U89" s="72"/>
      <c r="V89" s="72">
        <v>5866.7</v>
      </c>
      <c r="W89" s="72">
        <f>417-0.4</f>
        <v>416.6</v>
      </c>
      <c r="X89" s="72"/>
      <c r="Y89" s="72"/>
      <c r="Z89" s="72"/>
      <c r="AA89" s="72"/>
      <c r="AB89" s="72"/>
      <c r="AC89" s="72"/>
      <c r="AD89" s="72"/>
      <c r="AE89" s="72"/>
      <c r="AF89" s="72">
        <f t="shared" si="13"/>
        <v>15763.300000000001</v>
      </c>
      <c r="AG89" s="72">
        <f t="shared" si="16"/>
        <v>4746.9</v>
      </c>
      <c r="AH89" s="112"/>
      <c r="AI89" s="21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/>
      <c r="J90" s="67"/>
      <c r="K90" s="67"/>
      <c r="L90" s="67">
        <v>1886.8</v>
      </c>
      <c r="M90" s="72"/>
      <c r="N90" s="67"/>
      <c r="O90" s="67"/>
      <c r="P90" s="67"/>
      <c r="Q90" s="67"/>
      <c r="R90" s="67"/>
      <c r="S90" s="72">
        <v>1886.8</v>
      </c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f>833.3-3233.3</f>
        <v>-2400</v>
      </c>
      <c r="C91" s="22">
        <v>2500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100</v>
      </c>
      <c r="AH91" s="11"/>
      <c r="AI91" s="6"/>
    </row>
    <row r="92" spans="1:34" ht="15.75">
      <c r="A92" s="4" t="s">
        <v>37</v>
      </c>
      <c r="B92" s="22">
        <f>-1649+253+3208.6+2000+1991</f>
        <v>5803.6</v>
      </c>
      <c r="C92" s="22">
        <v>4942.299999999996</v>
      </c>
      <c r="D92" s="67">
        <v>3293.3</v>
      </c>
      <c r="E92" s="67"/>
      <c r="F92" s="67"/>
      <c r="G92" s="67"/>
      <c r="H92" s="67">
        <v>-2161.9</v>
      </c>
      <c r="I92" s="67"/>
      <c r="J92" s="67">
        <v>2161.9</v>
      </c>
      <c r="K92" s="67"/>
      <c r="L92" s="67"/>
      <c r="M92" s="72"/>
      <c r="N92" s="67"/>
      <c r="O92" s="67">
        <v>253</v>
      </c>
      <c r="P92" s="67">
        <v>3208.6</v>
      </c>
      <c r="Q92" s="67"/>
      <c r="R92" s="67"/>
      <c r="S92" s="72"/>
      <c r="T92" s="72"/>
      <c r="U92" s="67"/>
      <c r="V92" s="67"/>
      <c r="W92" s="67">
        <v>2572.08517</v>
      </c>
      <c r="X92" s="72">
        <f>1407.2+11.7</f>
        <v>1418.9</v>
      </c>
      <c r="Y92" s="72"/>
      <c r="Z92" s="72"/>
      <c r="AA92" s="72"/>
      <c r="AB92" s="67"/>
      <c r="AC92" s="67"/>
      <c r="AD92" s="67"/>
      <c r="AE92" s="67"/>
      <c r="AF92" s="71">
        <f t="shared" si="13"/>
        <v>10745.88517</v>
      </c>
      <c r="AG92" s="72">
        <f t="shared" si="16"/>
        <v>0.014829999996436527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201521.0000000001</v>
      </c>
      <c r="C94" s="35">
        <f t="shared" si="17"/>
        <v>76221.70000000001</v>
      </c>
      <c r="D94" s="82">
        <f t="shared" si="17"/>
        <v>3700.3</v>
      </c>
      <c r="E94" s="82">
        <f t="shared" si="17"/>
        <v>1323.8</v>
      </c>
      <c r="F94" s="82">
        <f t="shared" si="17"/>
        <v>1718.3000000000002</v>
      </c>
      <c r="G94" s="82">
        <f t="shared" si="17"/>
        <v>4638.7</v>
      </c>
      <c r="H94" s="82">
        <f t="shared" si="17"/>
        <v>15927.800000000001</v>
      </c>
      <c r="I94" s="82">
        <f t="shared" si="17"/>
        <v>0</v>
      </c>
      <c r="J94" s="82">
        <f t="shared" si="17"/>
        <v>6397.4</v>
      </c>
      <c r="K94" s="82">
        <f t="shared" si="17"/>
        <v>5330.6</v>
      </c>
      <c r="L94" s="82">
        <f t="shared" si="17"/>
        <v>17463.600000000002</v>
      </c>
      <c r="M94" s="91">
        <f t="shared" si="17"/>
        <v>32747.3</v>
      </c>
      <c r="N94" s="82">
        <f t="shared" si="17"/>
        <v>6069.400000000001</v>
      </c>
      <c r="O94" s="82">
        <f t="shared" si="17"/>
        <v>567.4</v>
      </c>
      <c r="P94" s="82">
        <f t="shared" si="17"/>
        <v>5148.9</v>
      </c>
      <c r="Q94" s="82">
        <f t="shared" si="17"/>
        <v>3775.1000000000004</v>
      </c>
      <c r="R94" s="82">
        <f t="shared" si="17"/>
        <v>3611.6000000000004</v>
      </c>
      <c r="S94" s="82">
        <f t="shared" si="17"/>
        <v>7747.400000000001</v>
      </c>
      <c r="T94" s="82">
        <f t="shared" si="17"/>
        <v>19571.000000000004</v>
      </c>
      <c r="U94" s="82">
        <f t="shared" si="17"/>
        <v>40985.70000000001</v>
      </c>
      <c r="V94" s="82">
        <f t="shared" si="17"/>
        <v>15950.5</v>
      </c>
      <c r="W94" s="82">
        <f t="shared" si="17"/>
        <v>8093.08517</v>
      </c>
      <c r="X94" s="82">
        <f t="shared" si="17"/>
        <v>3285.9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204053.78517</v>
      </c>
      <c r="AG94" s="83">
        <f>AG10+AG15+AG24+AG33+AG47+AG52+AG54+AG61+AG62+AG69+AG71+AG72+AG76+AG81+AG82+AG83+AG88+AG89+AG90+AG91+AG70+AG40+AG92</f>
        <v>73688.91483000001</v>
      </c>
    </row>
    <row r="95" spans="1:33" ht="15.75">
      <c r="A95" s="3" t="s">
        <v>5</v>
      </c>
      <c r="B95" s="22">
        <f aca="true" t="shared" si="18" ref="B95:AD95">B11+B17+B26+B34+B55+B63+B73+B41+B77+B48</f>
        <v>85788.9</v>
      </c>
      <c r="C95" s="22">
        <f t="shared" si="18"/>
        <v>6502.660000000002</v>
      </c>
      <c r="D95" s="67">
        <f t="shared" si="18"/>
        <v>404.9</v>
      </c>
      <c r="E95" s="67">
        <f t="shared" si="18"/>
        <v>300.2</v>
      </c>
      <c r="F95" s="67">
        <f t="shared" si="18"/>
        <v>27.400000000000002</v>
      </c>
      <c r="G95" s="67">
        <f t="shared" si="18"/>
        <v>5.6</v>
      </c>
      <c r="H95" s="67">
        <f t="shared" si="18"/>
        <v>39.9</v>
      </c>
      <c r="I95" s="67">
        <f t="shared" si="18"/>
        <v>0</v>
      </c>
      <c r="J95" s="67">
        <f t="shared" si="18"/>
        <v>8.7</v>
      </c>
      <c r="K95" s="67">
        <f t="shared" si="18"/>
        <v>14.8</v>
      </c>
      <c r="L95" s="67">
        <f t="shared" si="18"/>
        <v>3617.8</v>
      </c>
      <c r="M95" s="72">
        <f t="shared" si="18"/>
        <v>27492.399999999998</v>
      </c>
      <c r="N95" s="67">
        <f t="shared" si="18"/>
        <v>1796.3</v>
      </c>
      <c r="O95" s="67">
        <f t="shared" si="18"/>
        <v>33.2</v>
      </c>
      <c r="P95" s="67">
        <f t="shared" si="18"/>
        <v>27.1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1357.4</v>
      </c>
      <c r="U95" s="67">
        <f t="shared" si="18"/>
        <v>37017.799999999996</v>
      </c>
      <c r="V95" s="67">
        <f>V11+V17+V26+V34+V55+V63+V73+V41+V77+V48</f>
        <v>6305.100000000001</v>
      </c>
      <c r="W95" s="67">
        <f t="shared" si="18"/>
        <v>2337.1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80785.70000000001</v>
      </c>
      <c r="AG95" s="71">
        <f>B95+C95-AF95</f>
        <v>11505.859999999986</v>
      </c>
    </row>
    <row r="96" spans="1:33" ht="15.75">
      <c r="A96" s="3" t="s">
        <v>2</v>
      </c>
      <c r="B96" s="22">
        <f aca="true" t="shared" si="19" ref="B96:AD96">B12+B20+B29+B36+B57+B66+B44+B80+B74+B53</f>
        <v>9598.5</v>
      </c>
      <c r="C96" s="22">
        <f t="shared" si="19"/>
        <v>21590.699999999997</v>
      </c>
      <c r="D96" s="67">
        <f t="shared" si="19"/>
        <v>0</v>
      </c>
      <c r="E96" s="67">
        <f t="shared" si="19"/>
        <v>71.3</v>
      </c>
      <c r="F96" s="67">
        <f t="shared" si="19"/>
        <v>586.1</v>
      </c>
      <c r="G96" s="67">
        <f t="shared" si="19"/>
        <v>212.2</v>
      </c>
      <c r="H96" s="67">
        <f t="shared" si="19"/>
        <v>1999.9</v>
      </c>
      <c r="I96" s="67">
        <f t="shared" si="19"/>
        <v>0</v>
      </c>
      <c r="J96" s="67">
        <f t="shared" si="19"/>
        <v>1712.6999999999998</v>
      </c>
      <c r="K96" s="67">
        <f t="shared" si="19"/>
        <v>1972.7</v>
      </c>
      <c r="L96" s="67">
        <f t="shared" si="19"/>
        <v>907.4</v>
      </c>
      <c r="M96" s="72">
        <f t="shared" si="19"/>
        <v>1565.1</v>
      </c>
      <c r="N96" s="67">
        <f t="shared" si="19"/>
        <v>157.1</v>
      </c>
      <c r="O96" s="67">
        <f t="shared" si="19"/>
        <v>0</v>
      </c>
      <c r="P96" s="67">
        <f t="shared" si="19"/>
        <v>1057.3999999999999</v>
      </c>
      <c r="Q96" s="67">
        <f t="shared" si="19"/>
        <v>295.4</v>
      </c>
      <c r="R96" s="67">
        <f t="shared" si="19"/>
        <v>178.6</v>
      </c>
      <c r="S96" s="67">
        <f t="shared" si="19"/>
        <v>287.7</v>
      </c>
      <c r="T96" s="67">
        <f t="shared" si="19"/>
        <v>262.5</v>
      </c>
      <c r="U96" s="67">
        <f t="shared" si="19"/>
        <v>446.3</v>
      </c>
      <c r="V96" s="67">
        <f t="shared" si="19"/>
        <v>10.799999999999999</v>
      </c>
      <c r="W96" s="67">
        <f t="shared" si="19"/>
        <v>72.1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11795.3</v>
      </c>
      <c r="AG96" s="71">
        <f>B96+C96-AF96</f>
        <v>19393.899999999998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16.7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0.3</v>
      </c>
      <c r="I97" s="67">
        <f t="shared" si="20"/>
        <v>0</v>
      </c>
      <c r="J97" s="67">
        <f t="shared" si="20"/>
        <v>0.4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0.7</v>
      </c>
      <c r="AG97" s="71">
        <f>B97+C97-AF97</f>
        <v>16</v>
      </c>
    </row>
    <row r="98" spans="1:33" ht="15.75">
      <c r="A98" s="3" t="s">
        <v>1</v>
      </c>
      <c r="B98" s="22">
        <f aca="true" t="shared" si="21" ref="B98:AD98">B19+B28+B65+B35+B43+B56+B79</f>
        <v>5860.799999999999</v>
      </c>
      <c r="C98" s="22">
        <f t="shared" si="21"/>
        <v>2909.1</v>
      </c>
      <c r="D98" s="67">
        <f t="shared" si="21"/>
        <v>0</v>
      </c>
      <c r="E98" s="67">
        <f t="shared" si="21"/>
        <v>363.3</v>
      </c>
      <c r="F98" s="67">
        <f t="shared" si="21"/>
        <v>73.4</v>
      </c>
      <c r="G98" s="67">
        <f t="shared" si="21"/>
        <v>41.9</v>
      </c>
      <c r="H98" s="67">
        <f t="shared" si="21"/>
        <v>413.8</v>
      </c>
      <c r="I98" s="67">
        <f t="shared" si="21"/>
        <v>0</v>
      </c>
      <c r="J98" s="67">
        <f t="shared" si="21"/>
        <v>115.1</v>
      </c>
      <c r="K98" s="67">
        <f t="shared" si="21"/>
        <v>702.9</v>
      </c>
      <c r="L98" s="67">
        <f t="shared" si="21"/>
        <v>518</v>
      </c>
      <c r="M98" s="72">
        <f t="shared" si="21"/>
        <v>32.3</v>
      </c>
      <c r="N98" s="67">
        <f t="shared" si="21"/>
        <v>798.8</v>
      </c>
      <c r="O98" s="67">
        <f t="shared" si="21"/>
        <v>0</v>
      </c>
      <c r="P98" s="67">
        <f t="shared" si="21"/>
        <v>479.5</v>
      </c>
      <c r="Q98" s="67">
        <f t="shared" si="21"/>
        <v>844.8</v>
      </c>
      <c r="R98" s="67">
        <f t="shared" si="21"/>
        <v>125.9</v>
      </c>
      <c r="S98" s="67">
        <f t="shared" si="21"/>
        <v>390.5</v>
      </c>
      <c r="T98" s="67">
        <f t="shared" si="21"/>
        <v>205.1</v>
      </c>
      <c r="U98" s="67">
        <f t="shared" si="21"/>
        <v>283.8</v>
      </c>
      <c r="V98" s="67">
        <f t="shared" si="21"/>
        <v>245</v>
      </c>
      <c r="W98" s="67">
        <f t="shared" si="21"/>
        <v>14.8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5648.900000000001</v>
      </c>
      <c r="AG98" s="71">
        <f>B98+C98-AF98</f>
        <v>3120.999999999999</v>
      </c>
    </row>
    <row r="99" spans="1:33" ht="15.75">
      <c r="A99" s="3" t="s">
        <v>16</v>
      </c>
      <c r="B99" s="22">
        <f>B21+B30+B49+B37+B58+B13+B75+B67</f>
        <v>7736.900000000001</v>
      </c>
      <c r="C99" s="22">
        <f aca="true" t="shared" si="22" ref="C99:X99">C21+C30+C49+C37+C58+C13+C75+C67</f>
        <v>2463.3</v>
      </c>
      <c r="D99" s="67">
        <f t="shared" si="22"/>
        <v>0</v>
      </c>
      <c r="E99" s="67">
        <f t="shared" si="22"/>
        <v>0</v>
      </c>
      <c r="F99" s="67">
        <f t="shared" si="22"/>
        <v>244.7</v>
      </c>
      <c r="G99" s="67">
        <f t="shared" si="22"/>
        <v>2133</v>
      </c>
      <c r="H99" s="67">
        <f t="shared" si="22"/>
        <v>0</v>
      </c>
      <c r="I99" s="67">
        <f t="shared" si="22"/>
        <v>0</v>
      </c>
      <c r="J99" s="67">
        <f t="shared" si="22"/>
        <v>95.9</v>
      </c>
      <c r="K99" s="67">
        <f t="shared" si="22"/>
        <v>222</v>
      </c>
      <c r="L99" s="67">
        <f t="shared" si="22"/>
        <v>0</v>
      </c>
      <c r="M99" s="72">
        <f t="shared" si="22"/>
        <v>194.7</v>
      </c>
      <c r="N99" s="67">
        <f t="shared" si="22"/>
        <v>204.8</v>
      </c>
      <c r="O99" s="67">
        <f t="shared" si="22"/>
        <v>0</v>
      </c>
      <c r="P99" s="67">
        <f t="shared" si="22"/>
        <v>5.1</v>
      </c>
      <c r="Q99" s="67">
        <f t="shared" si="22"/>
        <v>0</v>
      </c>
      <c r="R99" s="67">
        <f t="shared" si="22"/>
        <v>2474.6000000000004</v>
      </c>
      <c r="S99" s="67">
        <f t="shared" si="22"/>
        <v>211.3</v>
      </c>
      <c r="T99" s="67">
        <f t="shared" si="22"/>
        <v>518.4</v>
      </c>
      <c r="U99" s="67">
        <f t="shared" si="22"/>
        <v>568.1</v>
      </c>
      <c r="V99" s="67">
        <f t="shared" si="22"/>
        <v>20.1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6892.700000000001</v>
      </c>
      <c r="AG99" s="71">
        <f>B99+C99-AF99</f>
        <v>3307.5</v>
      </c>
    </row>
    <row r="100" spans="1:33" ht="12.75">
      <c r="A100" s="1" t="s">
        <v>35</v>
      </c>
      <c r="B100" s="2">
        <f aca="true" t="shared" si="24" ref="B100:AD100">B94-B95-B96-B97-B98-B99</f>
        <v>92535.9000000001</v>
      </c>
      <c r="C100" s="2">
        <f t="shared" si="24"/>
        <v>42739.24000000001</v>
      </c>
      <c r="D100" s="84">
        <f t="shared" si="24"/>
        <v>3295.4</v>
      </c>
      <c r="E100" s="84">
        <f t="shared" si="24"/>
        <v>589</v>
      </c>
      <c r="F100" s="84">
        <f t="shared" si="24"/>
        <v>786.7</v>
      </c>
      <c r="G100" s="84">
        <f t="shared" si="24"/>
        <v>2246</v>
      </c>
      <c r="H100" s="84">
        <f t="shared" si="24"/>
        <v>13473.900000000003</v>
      </c>
      <c r="I100" s="84">
        <f t="shared" si="24"/>
        <v>0</v>
      </c>
      <c r="J100" s="84">
        <f t="shared" si="24"/>
        <v>4464.6</v>
      </c>
      <c r="K100" s="84">
        <f t="shared" si="24"/>
        <v>2418.2000000000003</v>
      </c>
      <c r="L100" s="84">
        <f t="shared" si="24"/>
        <v>12420.400000000003</v>
      </c>
      <c r="M100" s="92">
        <f t="shared" si="24"/>
        <v>3462.8000000000015</v>
      </c>
      <c r="N100" s="84">
        <f t="shared" si="24"/>
        <v>3112.3999999999996</v>
      </c>
      <c r="O100" s="84">
        <f t="shared" si="24"/>
        <v>534.1999999999999</v>
      </c>
      <c r="P100" s="84">
        <f t="shared" si="24"/>
        <v>3579.7999999999997</v>
      </c>
      <c r="Q100" s="84">
        <f t="shared" si="24"/>
        <v>2634.9000000000005</v>
      </c>
      <c r="R100" s="84">
        <f t="shared" si="24"/>
        <v>832.5</v>
      </c>
      <c r="S100" s="84">
        <f t="shared" si="24"/>
        <v>6857.900000000001</v>
      </c>
      <c r="T100" s="84">
        <f t="shared" si="24"/>
        <v>17227.600000000002</v>
      </c>
      <c r="U100" s="84">
        <f t="shared" si="24"/>
        <v>2669.7000000000157</v>
      </c>
      <c r="V100" s="84">
        <f t="shared" si="24"/>
        <v>9369.499999999998</v>
      </c>
      <c r="W100" s="84">
        <f t="shared" si="24"/>
        <v>5669.085169999999</v>
      </c>
      <c r="X100" s="84">
        <f t="shared" si="24"/>
        <v>3285.9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98930.48516999999</v>
      </c>
      <c r="AG100" s="84">
        <f>AG94-AG95-AG96-AG97-AG98-AG99</f>
        <v>36344.65483000003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186"/>
  <sheetViews>
    <sheetView zoomScale="70" zoomScaleNormal="70" zoomScalePageLayoutView="0" workbookViewId="0" topLeftCell="A1">
      <pane xSplit="1" ySplit="8" topLeftCell="Y6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2" sqref="B9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hidden="1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9.00390625" style="0" customWidth="1"/>
    <col min="20" max="20" width="10.25390625" style="18" customWidth="1"/>
    <col min="21" max="21" width="10.875" style="18" customWidth="1"/>
    <col min="22" max="22" width="10.875" style="0" customWidth="1"/>
    <col min="23" max="23" width="11.00390625" style="0" customWidth="1"/>
    <col min="24" max="24" width="10.625" style="0" customWidth="1"/>
    <col min="25" max="25" width="11.75390625" style="18" customWidth="1"/>
    <col min="26" max="26" width="8.75390625" style="18" customWidth="1"/>
    <col min="27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8" customFormat="1" ht="21" customHeight="1">
      <c r="A1" s="172" t="s">
        <v>12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</row>
    <row r="2" spans="1:34" s="18" customFormat="1" ht="22.5" customHeight="1">
      <c r="A2" s="173" t="s">
        <v>60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</row>
    <row r="3" spans="2:34" s="18" customFormat="1" ht="17.25" customHeight="1">
      <c r="B3" s="116"/>
      <c r="C3" s="116"/>
      <c r="D3" s="116"/>
      <c r="AH3" s="117" t="s">
        <v>17</v>
      </c>
    </row>
    <row r="4" spans="1:34" s="18" customFormat="1" ht="63">
      <c r="A4" s="118" t="s">
        <v>26</v>
      </c>
      <c r="B4" s="119" t="s">
        <v>61</v>
      </c>
      <c r="C4" s="119" t="s">
        <v>18</v>
      </c>
      <c r="D4" s="119">
        <v>1</v>
      </c>
      <c r="E4" s="19">
        <v>2</v>
      </c>
      <c r="F4" s="19">
        <v>3</v>
      </c>
      <c r="G4" s="19">
        <v>6</v>
      </c>
      <c r="H4" s="19">
        <v>7</v>
      </c>
      <c r="I4" s="19">
        <v>8</v>
      </c>
      <c r="J4" s="19">
        <v>10</v>
      </c>
      <c r="K4" s="19">
        <v>11</v>
      </c>
      <c r="L4" s="19">
        <v>13</v>
      </c>
      <c r="M4" s="19">
        <v>14</v>
      </c>
      <c r="N4" s="19">
        <v>15</v>
      </c>
      <c r="O4" s="19">
        <v>16</v>
      </c>
      <c r="P4" s="19">
        <v>17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19"/>
      <c r="AB4" s="19"/>
      <c r="AC4" s="19"/>
      <c r="AD4" s="19"/>
      <c r="AE4" s="19"/>
      <c r="AF4" s="119" t="s">
        <v>19</v>
      </c>
      <c r="AG4" s="120" t="s">
        <v>13</v>
      </c>
      <c r="AH4" s="120" t="s">
        <v>20</v>
      </c>
    </row>
    <row r="5" spans="1:34" s="18" customFormat="1" ht="15.75" hidden="1">
      <c r="A5" s="121" t="s">
        <v>42</v>
      </c>
      <c r="B5" s="86">
        <f>SUM(D5:Z5)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86"/>
      <c r="AG5" s="123"/>
      <c r="AH5" s="123"/>
    </row>
    <row r="6" spans="1:34" s="18" customFormat="1" ht="15.75" hidden="1">
      <c r="A6" s="121" t="s">
        <v>33</v>
      </c>
      <c r="B6" s="87">
        <f>SUM(D6:AE6)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122"/>
      <c r="AG6" s="123"/>
      <c r="AH6" s="123"/>
    </row>
    <row r="7" spans="1:34" s="18" customFormat="1" ht="15.75">
      <c r="A7" s="121" t="s">
        <v>36</v>
      </c>
      <c r="B7" s="87">
        <f>SUM(D7:Z7)</f>
        <v>62351.9</v>
      </c>
      <c r="C7" s="86">
        <v>957.1999999999935</v>
      </c>
      <c r="D7" s="122"/>
      <c r="E7" s="39">
        <v>31175.95</v>
      </c>
      <c r="F7" s="39"/>
      <c r="G7" s="39"/>
      <c r="H7" s="124"/>
      <c r="I7" s="125"/>
      <c r="J7" s="39"/>
      <c r="K7" s="39"/>
      <c r="L7" s="39">
        <v>31175.95</v>
      </c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86">
        <f>C7+E7+L7-AG16-AG25</f>
        <v>9997.099999999995</v>
      </c>
      <c r="AG7" s="86"/>
      <c r="AH7" s="123"/>
    </row>
    <row r="8" spans="1:56" s="18" customFormat="1" ht="18" customHeight="1">
      <c r="A8" s="126" t="s">
        <v>30</v>
      </c>
      <c r="B8" s="87">
        <f>SUM(E8:AC8)</f>
        <v>175251.7</v>
      </c>
      <c r="C8" s="87">
        <v>46010.17824000007</v>
      </c>
      <c r="D8" s="127"/>
      <c r="E8" s="128">
        <v>15900.1</v>
      </c>
      <c r="F8" s="62">
        <v>6112.7</v>
      </c>
      <c r="G8" s="62">
        <v>6641.2</v>
      </c>
      <c r="H8" s="62">
        <v>8176.1</v>
      </c>
      <c r="I8" s="62">
        <v>16323.8</v>
      </c>
      <c r="J8" s="62">
        <v>9464.4</v>
      </c>
      <c r="K8" s="62">
        <v>4428.9</v>
      </c>
      <c r="L8" s="62">
        <v>1596.2</v>
      </c>
      <c r="M8" s="62">
        <v>5121.3</v>
      </c>
      <c r="N8" s="62">
        <v>7635.1</v>
      </c>
      <c r="O8" s="62">
        <v>12409.9</v>
      </c>
      <c r="P8" s="62">
        <v>7138.9</v>
      </c>
      <c r="Q8" s="62">
        <v>8383.7</v>
      </c>
      <c r="R8" s="62">
        <v>9174.8</v>
      </c>
      <c r="S8" s="62">
        <v>6000.8</v>
      </c>
      <c r="T8" s="63">
        <v>6405.7</v>
      </c>
      <c r="U8" s="63">
        <v>4407.4</v>
      </c>
      <c r="V8" s="62">
        <v>4903.4</v>
      </c>
      <c r="W8" s="62">
        <v>4776.1</v>
      </c>
      <c r="X8" s="62">
        <v>4939.7</v>
      </c>
      <c r="Y8" s="62">
        <v>10378.9</v>
      </c>
      <c r="Z8" s="62">
        <v>14932.6</v>
      </c>
      <c r="AA8" s="62"/>
      <c r="AB8" s="62"/>
      <c r="AC8" s="62"/>
      <c r="AD8" s="129"/>
      <c r="AE8" s="129"/>
      <c r="AF8" s="130">
        <f>SUM(D8:AE8)+C8-AG9+AG16+AG25</f>
        <v>51808.37824000011</v>
      </c>
      <c r="AG8" s="131"/>
      <c r="AH8" s="72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36" s="134" customFormat="1" ht="15.75">
      <c r="A9" s="126" t="s">
        <v>14</v>
      </c>
      <c r="B9" s="132">
        <f aca="true" t="shared" si="0" ref="B9:AE9">B10+B15+B24+B33+B47+B52+B54+B61+B62+B71+B72+B88+B76+B81+B83+B82+B69+B89+B90+B91+B70+B40+B92</f>
        <v>229019.09999999995</v>
      </c>
      <c r="C9" s="132">
        <f t="shared" si="0"/>
        <v>73688.91483000001</v>
      </c>
      <c r="D9" s="90">
        <f t="shared" si="0"/>
        <v>0</v>
      </c>
      <c r="E9" s="90">
        <f t="shared" si="0"/>
        <v>10633.300000000001</v>
      </c>
      <c r="F9" s="90">
        <f t="shared" si="0"/>
        <v>10038.3</v>
      </c>
      <c r="G9" s="90">
        <f t="shared" si="0"/>
        <v>3756.7</v>
      </c>
      <c r="H9" s="90">
        <f>H10+H15+H24+H33+H47+H52+H54+H61+H62+H71+H72+H88+H76+H81+H83+H82+H69+H89+H90+H91+H70+H40+H92</f>
        <v>3510.4</v>
      </c>
      <c r="I9" s="90">
        <f t="shared" si="0"/>
        <v>5282.1</v>
      </c>
      <c r="J9" s="90">
        <f t="shared" si="0"/>
        <v>13578</v>
      </c>
      <c r="K9" s="90">
        <f t="shared" si="0"/>
        <v>35166.799999999996</v>
      </c>
      <c r="L9" s="90">
        <f t="shared" si="0"/>
        <v>8076.5</v>
      </c>
      <c r="M9" s="90">
        <f t="shared" si="0"/>
        <v>3214</v>
      </c>
      <c r="N9" s="90">
        <f t="shared" si="0"/>
        <v>807.1</v>
      </c>
      <c r="O9" s="90">
        <f t="shared" si="0"/>
        <v>4867.8</v>
      </c>
      <c r="P9" s="90">
        <f t="shared" si="0"/>
        <v>7927.5</v>
      </c>
      <c r="Q9" s="90">
        <f t="shared" si="0"/>
        <v>3407.9</v>
      </c>
      <c r="R9" s="90">
        <f t="shared" si="0"/>
        <v>5663.7</v>
      </c>
      <c r="S9" s="90">
        <f t="shared" si="0"/>
        <v>1038.8</v>
      </c>
      <c r="T9" s="90">
        <f t="shared" si="0"/>
        <v>12953</v>
      </c>
      <c r="U9" s="90">
        <f t="shared" si="0"/>
        <v>3811.3999999999996</v>
      </c>
      <c r="V9" s="90">
        <f t="shared" si="0"/>
        <v>20865.4</v>
      </c>
      <c r="W9" s="90">
        <f t="shared" si="0"/>
        <v>60125.69999999999</v>
      </c>
      <c r="X9" s="90">
        <f t="shared" si="0"/>
        <v>5106.599999999999</v>
      </c>
      <c r="Y9" s="90">
        <f t="shared" si="0"/>
        <v>1040.7</v>
      </c>
      <c r="Z9" s="90">
        <f t="shared" si="0"/>
        <v>1893.8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 t="shared" si="0"/>
        <v>0</v>
      </c>
      <c r="AE9" s="90">
        <f t="shared" si="0"/>
        <v>0</v>
      </c>
      <c r="AF9" s="90"/>
      <c r="AG9" s="90">
        <f>AG10+AG15+AG24+AG33+AG47+AG52+AG54+AG61+AG62+AG71+AG72+AG76+AG88+AG81+AG83+AG82+AG69+AG89+AG90+AG91+AG70+AG40+AG92</f>
        <v>222765.49999999997</v>
      </c>
      <c r="AH9" s="90">
        <f>AH10+AH15+AH24+AH33+AH47+AH52+AH54+AH61+AH62+AH71+AH72+AH76+AH88+AH81+AH83+AH82+AH69+AH89+AH91+AH90+AH70+AH40+AH92</f>
        <v>79942.51483</v>
      </c>
      <c r="AI9" s="133"/>
      <c r="AJ9" s="133"/>
    </row>
    <row r="10" spans="1:36" s="18" customFormat="1" ht="15.75">
      <c r="A10" s="96" t="s">
        <v>4</v>
      </c>
      <c r="B10" s="97">
        <f>19226.1+35</f>
        <v>19261.1</v>
      </c>
      <c r="C10" s="97">
        <v>4574.100000000002</v>
      </c>
      <c r="D10" s="72"/>
      <c r="E10" s="72">
        <v>443.9</v>
      </c>
      <c r="F10" s="72">
        <v>95.4</v>
      </c>
      <c r="G10" s="72">
        <v>331.1</v>
      </c>
      <c r="H10" s="72">
        <v>76.6</v>
      </c>
      <c r="I10" s="72">
        <v>36.8</v>
      </c>
      <c r="J10" s="72">
        <v>49.5</v>
      </c>
      <c r="K10" s="70">
        <v>1454.8</v>
      </c>
      <c r="L10" s="72">
        <v>2354.1</v>
      </c>
      <c r="M10" s="72">
        <v>2278.3</v>
      </c>
      <c r="N10" s="72">
        <v>13.1</v>
      </c>
      <c r="O10" s="72">
        <v>160.2</v>
      </c>
      <c r="P10" s="72">
        <v>26.9</v>
      </c>
      <c r="Q10" s="72">
        <v>516.5</v>
      </c>
      <c r="R10" s="72">
        <v>1</v>
      </c>
      <c r="S10" s="72">
        <v>19.8</v>
      </c>
      <c r="T10" s="72">
        <v>67.4</v>
      </c>
      <c r="U10" s="72">
        <v>14.6</v>
      </c>
      <c r="V10" s="72">
        <v>1355.2</v>
      </c>
      <c r="W10" s="72">
        <v>3917.1</v>
      </c>
      <c r="X10" s="72">
        <v>4971.5</v>
      </c>
      <c r="Y10" s="72">
        <v>7.7</v>
      </c>
      <c r="Z10" s="72"/>
      <c r="AA10" s="72"/>
      <c r="AB10" s="72"/>
      <c r="AC10" s="72"/>
      <c r="AD10" s="72"/>
      <c r="AE10" s="72"/>
      <c r="AF10" s="72"/>
      <c r="AG10" s="72">
        <f aca="true" t="shared" si="1" ref="AG10:AG59">SUM(D10:AE10)</f>
        <v>18191.500000000004</v>
      </c>
      <c r="AH10" s="72">
        <f>B10+C10-AG10</f>
        <v>5643.699999999997</v>
      </c>
      <c r="AJ10" s="21"/>
    </row>
    <row r="11" spans="1:36" s="18" customFormat="1" ht="15.75">
      <c r="A11" s="98" t="s">
        <v>5</v>
      </c>
      <c r="B11" s="97">
        <v>18077.5</v>
      </c>
      <c r="C11" s="97">
        <v>3442.900000000005</v>
      </c>
      <c r="D11" s="72"/>
      <c r="E11" s="72">
        <v>443.9</v>
      </c>
      <c r="F11" s="72">
        <v>70.3</v>
      </c>
      <c r="G11" s="72">
        <v>10.4</v>
      </c>
      <c r="H11" s="72">
        <v>66.5</v>
      </c>
      <c r="I11" s="72"/>
      <c r="J11" s="72"/>
      <c r="K11" s="72">
        <v>1293</v>
      </c>
      <c r="L11" s="72">
        <v>2348.9</v>
      </c>
      <c r="M11" s="72">
        <v>2098.9</v>
      </c>
      <c r="N11" s="72"/>
      <c r="O11" s="72">
        <v>101.7</v>
      </c>
      <c r="P11" s="72">
        <v>0.4</v>
      </c>
      <c r="Q11" s="72">
        <v>516</v>
      </c>
      <c r="R11" s="72"/>
      <c r="S11" s="72">
        <v>10.8</v>
      </c>
      <c r="T11" s="72"/>
      <c r="U11" s="72"/>
      <c r="V11" s="72">
        <v>1290.2</v>
      </c>
      <c r="W11" s="72">
        <v>3880.2</v>
      </c>
      <c r="X11" s="72">
        <v>4953.9</v>
      </c>
      <c r="Y11" s="72"/>
      <c r="Z11" s="72"/>
      <c r="AA11" s="72"/>
      <c r="AB11" s="72"/>
      <c r="AC11" s="72"/>
      <c r="AD11" s="72"/>
      <c r="AE11" s="72"/>
      <c r="AF11" s="72"/>
      <c r="AG11" s="72">
        <f t="shared" si="1"/>
        <v>17085.1</v>
      </c>
      <c r="AH11" s="72">
        <f>B11+C11-AG11</f>
        <v>4435.300000000007</v>
      </c>
      <c r="AJ11" s="21"/>
    </row>
    <row r="12" spans="1:36" s="18" customFormat="1" ht="15.75">
      <c r="A12" s="98" t="s">
        <v>2</v>
      </c>
      <c r="B12" s="99">
        <f>94.9+60</f>
        <v>154.9</v>
      </c>
      <c r="C12" s="97">
        <v>189.39999999999998</v>
      </c>
      <c r="D12" s="72"/>
      <c r="E12" s="72"/>
      <c r="F12" s="72"/>
      <c r="G12" s="72">
        <f>127.9-10.1</f>
        <v>117.80000000000001</v>
      </c>
      <c r="H12" s="72">
        <v>10</v>
      </c>
      <c r="I12" s="72">
        <v>5.9</v>
      </c>
      <c r="J12" s="72"/>
      <c r="K12" s="72">
        <v>112.5</v>
      </c>
      <c r="L12" s="72"/>
      <c r="M12" s="72">
        <v>3.5</v>
      </c>
      <c r="N12" s="72"/>
      <c r="O12" s="72">
        <v>4.3</v>
      </c>
      <c r="P12" s="72"/>
      <c r="Q12" s="72"/>
      <c r="R12" s="72"/>
      <c r="S12" s="72">
        <v>3</v>
      </c>
      <c r="T12" s="72">
        <v>9.2</v>
      </c>
      <c r="U12" s="72"/>
      <c r="V12" s="72">
        <v>59.4</v>
      </c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>
        <f t="shared" si="1"/>
        <v>325.59999999999997</v>
      </c>
      <c r="AH12" s="72">
        <f>B12+C12-AG12</f>
        <v>18.69999999999999</v>
      </c>
      <c r="AJ12" s="21"/>
    </row>
    <row r="13" spans="1:36" s="18" customFormat="1" ht="15.75" hidden="1">
      <c r="A13" s="98" t="s">
        <v>16</v>
      </c>
      <c r="B13" s="97"/>
      <c r="C13" s="97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>
        <f t="shared" si="1"/>
        <v>0</v>
      </c>
      <c r="AH13" s="72">
        <f>B13+C13-AG13</f>
        <v>0</v>
      </c>
      <c r="AJ13" s="21"/>
    </row>
    <row r="14" spans="1:36" s="18" customFormat="1" ht="15.75">
      <c r="A14" s="98" t="s">
        <v>23</v>
      </c>
      <c r="B14" s="97">
        <f aca="true" t="shared" si="2" ref="B14:Z14">B10-B11-B12-B13</f>
        <v>1028.6999999999985</v>
      </c>
      <c r="C14" s="97">
        <v>941.7999999999971</v>
      </c>
      <c r="D14" s="72">
        <f t="shared" si="2"/>
        <v>0</v>
      </c>
      <c r="E14" s="72">
        <f t="shared" si="2"/>
        <v>0</v>
      </c>
      <c r="F14" s="72">
        <f t="shared" si="2"/>
        <v>25.10000000000001</v>
      </c>
      <c r="G14" s="72">
        <f t="shared" si="2"/>
        <v>202.90000000000003</v>
      </c>
      <c r="H14" s="72">
        <f>H10-H11-H12-H13</f>
        <v>0.09999999999999432</v>
      </c>
      <c r="I14" s="72">
        <f t="shared" si="2"/>
        <v>30.9</v>
      </c>
      <c r="J14" s="72">
        <f t="shared" si="2"/>
        <v>49.5</v>
      </c>
      <c r="K14" s="72">
        <f t="shared" si="2"/>
        <v>49.299999999999955</v>
      </c>
      <c r="L14" s="72">
        <f t="shared" si="2"/>
        <v>5.199999999999818</v>
      </c>
      <c r="M14" s="72">
        <f t="shared" si="2"/>
        <v>175.9000000000001</v>
      </c>
      <c r="N14" s="72">
        <f t="shared" si="2"/>
        <v>13.1</v>
      </c>
      <c r="O14" s="72">
        <f t="shared" si="2"/>
        <v>54.19999999999999</v>
      </c>
      <c r="P14" s="72">
        <f t="shared" si="2"/>
        <v>26.5</v>
      </c>
      <c r="Q14" s="72">
        <f t="shared" si="2"/>
        <v>0.5</v>
      </c>
      <c r="R14" s="72">
        <f t="shared" si="2"/>
        <v>1</v>
      </c>
      <c r="S14" s="72">
        <f t="shared" si="2"/>
        <v>6</v>
      </c>
      <c r="T14" s="72">
        <f t="shared" si="2"/>
        <v>58.2</v>
      </c>
      <c r="U14" s="72">
        <f t="shared" si="2"/>
        <v>14.6</v>
      </c>
      <c r="V14" s="72">
        <f t="shared" si="2"/>
        <v>5.600000000000001</v>
      </c>
      <c r="W14" s="72">
        <f t="shared" si="2"/>
        <v>36.90000000000009</v>
      </c>
      <c r="X14" s="72">
        <f t="shared" si="2"/>
        <v>17.600000000000364</v>
      </c>
      <c r="Y14" s="72">
        <f t="shared" si="2"/>
        <v>7.7</v>
      </c>
      <c r="Z14" s="72">
        <f t="shared" si="2"/>
        <v>0</v>
      </c>
      <c r="AA14" s="72"/>
      <c r="AB14" s="72"/>
      <c r="AC14" s="72"/>
      <c r="AD14" s="72"/>
      <c r="AE14" s="72"/>
      <c r="AF14" s="72"/>
      <c r="AG14" s="72">
        <f t="shared" si="1"/>
        <v>780.8000000000004</v>
      </c>
      <c r="AH14" s="72">
        <f>AH10-AH11-AH12-AH13</f>
        <v>1189.6999999999905</v>
      </c>
      <c r="AJ14" s="21"/>
    </row>
    <row r="15" spans="1:36" s="18" customFormat="1" ht="15" customHeight="1">
      <c r="A15" s="96" t="s">
        <v>6</v>
      </c>
      <c r="B15" s="97">
        <f>105110.8-6000</f>
        <v>99110.8</v>
      </c>
      <c r="C15" s="97">
        <v>31558.09999999999</v>
      </c>
      <c r="D15" s="100"/>
      <c r="E15" s="100">
        <f>39.5+14.3</f>
        <v>53.8</v>
      </c>
      <c r="F15" s="72"/>
      <c r="G15" s="72">
        <v>1260.1</v>
      </c>
      <c r="H15" s="72">
        <v>405.8</v>
      </c>
      <c r="I15" s="72">
        <v>252.6</v>
      </c>
      <c r="J15" s="72">
        <v>2133.3</v>
      </c>
      <c r="K15" s="72">
        <f>13730.5+10532.6</f>
        <v>24263.1</v>
      </c>
      <c r="L15" s="72">
        <v>1117.8</v>
      </c>
      <c r="M15" s="72">
        <v>436</v>
      </c>
      <c r="N15" s="72">
        <v>409.4</v>
      </c>
      <c r="O15" s="72">
        <v>572.5</v>
      </c>
      <c r="P15" s="72">
        <v>924.7</v>
      </c>
      <c r="Q15" s="72">
        <v>143.2</v>
      </c>
      <c r="R15" s="72">
        <v>762.1</v>
      </c>
      <c r="S15" s="72">
        <v>701</v>
      </c>
      <c r="T15" s="72">
        <v>75.3</v>
      </c>
      <c r="U15" s="72">
        <f>1449.6</f>
        <v>1449.6</v>
      </c>
      <c r="V15" s="72">
        <v>1.5</v>
      </c>
      <c r="W15" s="72">
        <f>26550.1+25726.8</f>
        <v>52276.899999999994</v>
      </c>
      <c r="X15" s="72">
        <v>14.9</v>
      </c>
      <c r="Y15" s="72"/>
      <c r="Z15" s="72"/>
      <c r="AA15" s="72"/>
      <c r="AB15" s="72"/>
      <c r="AC15" s="72"/>
      <c r="AD15" s="72"/>
      <c r="AE15" s="72"/>
      <c r="AF15" s="72"/>
      <c r="AG15" s="72">
        <f t="shared" si="1"/>
        <v>87253.59999999998</v>
      </c>
      <c r="AH15" s="72">
        <f aca="true" t="shared" si="3" ref="AH15:AH31">B15+C15-AG15</f>
        <v>43415.30000000002</v>
      </c>
      <c r="AJ15" s="21"/>
    </row>
    <row r="16" spans="1:36" s="104" customFormat="1" ht="15" customHeight="1">
      <c r="A16" s="101" t="s">
        <v>38</v>
      </c>
      <c r="B16" s="102">
        <v>45313.7</v>
      </c>
      <c r="C16" s="102">
        <v>58.99999999999636</v>
      </c>
      <c r="D16" s="88"/>
      <c r="E16" s="88">
        <v>14.3</v>
      </c>
      <c r="F16" s="76"/>
      <c r="G16" s="76"/>
      <c r="H16" s="76"/>
      <c r="I16" s="76"/>
      <c r="J16" s="76"/>
      <c r="K16" s="76">
        <v>10532.6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>
        <v>25726.8</v>
      </c>
      <c r="X16" s="76"/>
      <c r="Y16" s="76"/>
      <c r="Z16" s="76"/>
      <c r="AA16" s="76"/>
      <c r="AB16" s="76"/>
      <c r="AC16" s="76"/>
      <c r="AD16" s="76"/>
      <c r="AE16" s="76"/>
      <c r="AF16" s="76"/>
      <c r="AG16" s="88">
        <f t="shared" si="1"/>
        <v>36273.7</v>
      </c>
      <c r="AH16" s="88">
        <f t="shared" si="3"/>
        <v>9099</v>
      </c>
      <c r="AI16" s="103"/>
      <c r="AJ16" s="21"/>
    </row>
    <row r="17" spans="1:36" s="18" customFormat="1" ht="15.75">
      <c r="A17" s="98" t="s">
        <v>5</v>
      </c>
      <c r="B17" s="97">
        <v>93423.2</v>
      </c>
      <c r="C17" s="97">
        <v>6496.159999999996</v>
      </c>
      <c r="D17" s="72"/>
      <c r="E17" s="72">
        <f>39.5+14.3</f>
        <v>53.8</v>
      </c>
      <c r="F17" s="72"/>
      <c r="G17" s="72"/>
      <c r="H17" s="72"/>
      <c r="I17" s="72"/>
      <c r="J17" s="72"/>
      <c r="K17" s="72">
        <f>10532.6+12547.2</f>
        <v>23079.800000000003</v>
      </c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>
        <f>25798.9+25726.8</f>
        <v>51525.7</v>
      </c>
      <c r="X17" s="72"/>
      <c r="Y17" s="72"/>
      <c r="Z17" s="72"/>
      <c r="AA17" s="72"/>
      <c r="AB17" s="72"/>
      <c r="AC17" s="72"/>
      <c r="AD17" s="72"/>
      <c r="AE17" s="72"/>
      <c r="AF17" s="72"/>
      <c r="AG17" s="72">
        <f t="shared" si="1"/>
        <v>74659.3</v>
      </c>
      <c r="AH17" s="72">
        <f t="shared" si="3"/>
        <v>25260.059999999983</v>
      </c>
      <c r="AI17" s="21"/>
      <c r="AJ17" s="21"/>
    </row>
    <row r="18" spans="1:36" s="18" customFormat="1" ht="15.75">
      <c r="A18" s="98" t="s">
        <v>3</v>
      </c>
      <c r="B18" s="97">
        <v>0</v>
      </c>
      <c r="C18" s="97">
        <v>15.100000000000001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>
        <v>0.4</v>
      </c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>
        <f t="shared" si="1"/>
        <v>0.4</v>
      </c>
      <c r="AH18" s="72">
        <f t="shared" si="3"/>
        <v>14.700000000000001</v>
      </c>
      <c r="AJ18" s="21"/>
    </row>
    <row r="19" spans="1:36" s="18" customFormat="1" ht="15.75">
      <c r="A19" s="98" t="s">
        <v>1</v>
      </c>
      <c r="B19" s="97">
        <v>5116.3</v>
      </c>
      <c r="C19" s="97">
        <v>2548.5999999999985</v>
      </c>
      <c r="D19" s="72"/>
      <c r="E19" s="72"/>
      <c r="F19" s="72"/>
      <c r="G19" s="72">
        <v>708.8</v>
      </c>
      <c r="H19" s="72">
        <v>214.1</v>
      </c>
      <c r="I19" s="72">
        <v>98</v>
      </c>
      <c r="J19" s="72">
        <v>840.2</v>
      </c>
      <c r="K19" s="72">
        <v>413</v>
      </c>
      <c r="L19" s="72">
        <v>34.3</v>
      </c>
      <c r="M19" s="72">
        <v>314.6</v>
      </c>
      <c r="N19" s="72">
        <v>100.4</v>
      </c>
      <c r="O19" s="72">
        <v>456.8</v>
      </c>
      <c r="P19" s="72">
        <f>441.8-0.1</f>
        <v>441.7</v>
      </c>
      <c r="Q19" s="72"/>
      <c r="R19" s="72">
        <v>78.1</v>
      </c>
      <c r="S19" s="72">
        <f>348.9-0.1</f>
        <v>348.79999999999995</v>
      </c>
      <c r="T19" s="72">
        <v>2.2</v>
      </c>
      <c r="U19" s="72">
        <v>951.6</v>
      </c>
      <c r="V19" s="72">
        <v>1.2</v>
      </c>
      <c r="W19" s="72">
        <v>34.1</v>
      </c>
      <c r="X19" s="72">
        <v>1.7</v>
      </c>
      <c r="Y19" s="72"/>
      <c r="Z19" s="72"/>
      <c r="AA19" s="72"/>
      <c r="AB19" s="72"/>
      <c r="AC19" s="72"/>
      <c r="AD19" s="72"/>
      <c r="AE19" s="72"/>
      <c r="AF19" s="72"/>
      <c r="AG19" s="72">
        <f t="shared" si="1"/>
        <v>5039.6</v>
      </c>
      <c r="AH19" s="72">
        <f t="shared" si="3"/>
        <v>2625.2999999999984</v>
      </c>
      <c r="AJ19" s="21"/>
    </row>
    <row r="20" spans="1:36" s="18" customFormat="1" ht="15.75">
      <c r="A20" s="98" t="s">
        <v>2</v>
      </c>
      <c r="B20" s="97">
        <f>1951.1-6000+4.2</f>
        <v>-4044.7000000000003</v>
      </c>
      <c r="C20" s="97">
        <v>16839.699999999997</v>
      </c>
      <c r="D20" s="72"/>
      <c r="E20" s="72"/>
      <c r="F20" s="72"/>
      <c r="G20" s="72">
        <v>499.3</v>
      </c>
      <c r="H20" s="72">
        <v>189</v>
      </c>
      <c r="I20" s="72">
        <v>105</v>
      </c>
      <c r="J20" s="72">
        <v>924.1</v>
      </c>
      <c r="K20" s="72">
        <v>743.1</v>
      </c>
      <c r="L20" s="72">
        <v>713.2</v>
      </c>
      <c r="M20" s="72">
        <v>2.5</v>
      </c>
      <c r="N20" s="72">
        <v>274</v>
      </c>
      <c r="O20" s="72">
        <v>68.8</v>
      </c>
      <c r="P20" s="72">
        <v>344.9</v>
      </c>
      <c r="Q20" s="72"/>
      <c r="R20" s="72">
        <v>81.5</v>
      </c>
      <c r="S20" s="72">
        <v>43.7</v>
      </c>
      <c r="T20" s="72">
        <v>7.6</v>
      </c>
      <c r="U20" s="72">
        <f>232.5+0.7</f>
        <v>233.2</v>
      </c>
      <c r="V20" s="72"/>
      <c r="W20" s="72">
        <v>455.8</v>
      </c>
      <c r="X20" s="72">
        <v>0.6</v>
      </c>
      <c r="Y20" s="72"/>
      <c r="Z20" s="72"/>
      <c r="AA20" s="72"/>
      <c r="AB20" s="72"/>
      <c r="AC20" s="72"/>
      <c r="AD20" s="72"/>
      <c r="AE20" s="72"/>
      <c r="AF20" s="72"/>
      <c r="AG20" s="72">
        <f t="shared" si="1"/>
        <v>4686.3</v>
      </c>
      <c r="AH20" s="72">
        <f t="shared" si="3"/>
        <v>8108.699999999996</v>
      </c>
      <c r="AJ20" s="21"/>
    </row>
    <row r="21" spans="1:36" s="18" customFormat="1" ht="15.75">
      <c r="A21" s="98" t="s">
        <v>16</v>
      </c>
      <c r="B21" s="97">
        <v>1258.9</v>
      </c>
      <c r="C21" s="97">
        <v>516.6999999999999</v>
      </c>
      <c r="D21" s="72"/>
      <c r="E21" s="72"/>
      <c r="F21" s="72"/>
      <c r="G21" s="72"/>
      <c r="H21" s="72"/>
      <c r="I21" s="72"/>
      <c r="J21" s="72">
        <v>205.8</v>
      </c>
      <c r="K21" s="72"/>
      <c r="L21" s="72"/>
      <c r="M21" s="72"/>
      <c r="N21" s="72">
        <v>21</v>
      </c>
      <c r="O21" s="72"/>
      <c r="P21" s="72"/>
      <c r="Q21" s="72"/>
      <c r="R21" s="72">
        <f>475.1+46.1</f>
        <v>521.2</v>
      </c>
      <c r="S21" s="72">
        <v>265</v>
      </c>
      <c r="T21" s="72">
        <v>1</v>
      </c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>
        <f t="shared" si="1"/>
        <v>1014</v>
      </c>
      <c r="AH21" s="72">
        <f t="shared" si="3"/>
        <v>761.5999999999999</v>
      </c>
      <c r="AJ21" s="21"/>
    </row>
    <row r="22" spans="1:36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>
        <f t="shared" si="1"/>
        <v>0</v>
      </c>
      <c r="AH22" s="72">
        <f t="shared" si="3"/>
        <v>0</v>
      </c>
      <c r="AJ22" s="21"/>
    </row>
    <row r="23" spans="1:36" s="18" customFormat="1" ht="15.75">
      <c r="A23" s="98" t="s">
        <v>23</v>
      </c>
      <c r="B23" s="97">
        <f>B15-B17-B18-B19-B20-B21-B22</f>
        <v>3357.1000000000054</v>
      </c>
      <c r="C23" s="97">
        <f>C15-C17-C18-C19-C20-C21-C22</f>
        <v>5141.840000000001</v>
      </c>
      <c r="D23" s="72">
        <f aca="true" t="shared" si="4" ref="D23:AE23">D15-D17-D18-D19-D20-D21-D22</f>
        <v>0</v>
      </c>
      <c r="E23" s="72">
        <f t="shared" si="4"/>
        <v>0</v>
      </c>
      <c r="F23" s="72">
        <f t="shared" si="4"/>
        <v>0</v>
      </c>
      <c r="G23" s="72">
        <f t="shared" si="4"/>
        <v>51.99999999999994</v>
      </c>
      <c r="H23" s="72">
        <f>H15-H17-H18-H19-H20-H21-H22</f>
        <v>2.700000000000017</v>
      </c>
      <c r="I23" s="72">
        <f t="shared" si="4"/>
        <v>49.599999999999994</v>
      </c>
      <c r="J23" s="72">
        <f t="shared" si="4"/>
        <v>163.2000000000001</v>
      </c>
      <c r="K23" s="72">
        <f t="shared" si="4"/>
        <v>27.19999999999561</v>
      </c>
      <c r="L23" s="72">
        <f t="shared" si="4"/>
        <v>370.29999999999995</v>
      </c>
      <c r="M23" s="72">
        <f t="shared" si="4"/>
        <v>118.89999999999998</v>
      </c>
      <c r="N23" s="72">
        <f t="shared" si="4"/>
        <v>14</v>
      </c>
      <c r="O23" s="72">
        <f t="shared" si="4"/>
        <v>46.89999999999999</v>
      </c>
      <c r="P23" s="72">
        <f t="shared" si="4"/>
        <v>138.10000000000008</v>
      </c>
      <c r="Q23" s="72">
        <f t="shared" si="4"/>
        <v>143.2</v>
      </c>
      <c r="R23" s="72">
        <f t="shared" si="4"/>
        <v>81.29999999999995</v>
      </c>
      <c r="S23" s="72">
        <f t="shared" si="4"/>
        <v>43.50000000000006</v>
      </c>
      <c r="T23" s="72">
        <f t="shared" si="4"/>
        <v>64.5</v>
      </c>
      <c r="U23" s="72">
        <f t="shared" si="4"/>
        <v>264.3999999999998</v>
      </c>
      <c r="V23" s="72">
        <f t="shared" si="4"/>
        <v>0.30000000000000004</v>
      </c>
      <c r="W23" s="72">
        <f t="shared" si="4"/>
        <v>261.29999999999706</v>
      </c>
      <c r="X23" s="72">
        <f t="shared" si="4"/>
        <v>12.600000000000001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>
        <f t="shared" si="4"/>
        <v>0</v>
      </c>
      <c r="AF23" s="72"/>
      <c r="AG23" s="72">
        <f>SUM(D23:AE23)</f>
        <v>1853.9999999999925</v>
      </c>
      <c r="AH23" s="72">
        <f>B23+C23-AG23</f>
        <v>6644.940000000013</v>
      </c>
      <c r="AJ23" s="21"/>
    </row>
    <row r="24" spans="1:36" s="18" customFormat="1" ht="15" customHeight="1">
      <c r="A24" s="96" t="s">
        <v>7</v>
      </c>
      <c r="B24" s="97">
        <f>37918.1-3000</f>
        <v>34918.1</v>
      </c>
      <c r="C24" s="97">
        <v>14046.100000000006</v>
      </c>
      <c r="D24" s="72"/>
      <c r="E24" s="72">
        <v>66</v>
      </c>
      <c r="F24" s="72">
        <f>205.9+78.6</f>
        <v>284.5</v>
      </c>
      <c r="G24" s="72">
        <f>84.6+109.2</f>
        <v>193.8</v>
      </c>
      <c r="H24" s="72">
        <v>117.8</v>
      </c>
      <c r="I24" s="72">
        <v>150.5</v>
      </c>
      <c r="J24" s="72">
        <f>1572.9+369.6</f>
        <v>1942.5</v>
      </c>
      <c r="K24" s="72">
        <f>737.8+7895.9</f>
        <v>8633.699999999999</v>
      </c>
      <c r="L24" s="72">
        <v>2034.2</v>
      </c>
      <c r="M24" s="72">
        <v>100.3</v>
      </c>
      <c r="N24" s="72">
        <v>0.9</v>
      </c>
      <c r="O24" s="72"/>
      <c r="P24" s="72">
        <f>1120.8+1222.4</f>
        <v>2343.2</v>
      </c>
      <c r="Q24" s="72">
        <v>4</v>
      </c>
      <c r="R24" s="72">
        <v>8.9</v>
      </c>
      <c r="S24" s="72">
        <v>180.1</v>
      </c>
      <c r="T24" s="72"/>
      <c r="U24" s="72">
        <f>515.8+1219.3</f>
        <v>1735.1</v>
      </c>
      <c r="V24" s="72">
        <f>11997.9+4043.1</f>
        <v>16041</v>
      </c>
      <c r="W24" s="72">
        <f>0.1</f>
        <v>0.1</v>
      </c>
      <c r="X24" s="72"/>
      <c r="Y24" s="72"/>
      <c r="Z24" s="72"/>
      <c r="AA24" s="72"/>
      <c r="AB24" s="72"/>
      <c r="AC24" s="72"/>
      <c r="AD24" s="72"/>
      <c r="AE24" s="72"/>
      <c r="AF24" s="72"/>
      <c r="AG24" s="72">
        <f t="shared" si="1"/>
        <v>33836.6</v>
      </c>
      <c r="AH24" s="72">
        <f t="shared" si="3"/>
        <v>15127.600000000006</v>
      </c>
      <c r="AJ24" s="21"/>
    </row>
    <row r="25" spans="1:36" s="104" customFormat="1" ht="15" customHeight="1">
      <c r="A25" s="101" t="s">
        <v>39</v>
      </c>
      <c r="B25" s="102">
        <v>17137.9</v>
      </c>
      <c r="C25" s="102">
        <v>99.79999999999927</v>
      </c>
      <c r="D25" s="76"/>
      <c r="E25" s="76">
        <v>66</v>
      </c>
      <c r="F25" s="76">
        <v>78.6</v>
      </c>
      <c r="G25" s="76">
        <v>109.2</v>
      </c>
      <c r="H25" s="76"/>
      <c r="I25" s="76"/>
      <c r="J25" s="76">
        <v>369.6</v>
      </c>
      <c r="K25" s="76">
        <v>7895.9</v>
      </c>
      <c r="L25" s="76">
        <v>2034.2</v>
      </c>
      <c r="M25" s="76"/>
      <c r="N25" s="76"/>
      <c r="O25" s="76"/>
      <c r="P25" s="76">
        <v>1222.4</v>
      </c>
      <c r="Q25" s="76"/>
      <c r="R25" s="76"/>
      <c r="S25" s="76"/>
      <c r="T25" s="76"/>
      <c r="U25" s="76">
        <v>1219.3</v>
      </c>
      <c r="V25" s="76">
        <v>4043.1</v>
      </c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88">
        <f t="shared" si="1"/>
        <v>17038.3</v>
      </c>
      <c r="AH25" s="88">
        <f t="shared" si="3"/>
        <v>199.40000000000146</v>
      </c>
      <c r="AI25" s="103"/>
      <c r="AJ25" s="21"/>
    </row>
    <row r="26" spans="1:36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>
        <f t="shared" si="1"/>
        <v>0</v>
      </c>
      <c r="AH26" s="72">
        <f t="shared" si="3"/>
        <v>0</v>
      </c>
      <c r="AI26" s="21"/>
      <c r="AJ26" s="21"/>
    </row>
    <row r="27" spans="1:36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>
        <f t="shared" si="1"/>
        <v>0</v>
      </c>
      <c r="AH27" s="72">
        <f t="shared" si="3"/>
        <v>0</v>
      </c>
      <c r="AJ27" s="21"/>
    </row>
    <row r="28" spans="1:36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>
        <f t="shared" si="1"/>
        <v>0</v>
      </c>
      <c r="AH28" s="72">
        <f t="shared" si="3"/>
        <v>0</v>
      </c>
      <c r="AJ28" s="21"/>
    </row>
    <row r="29" spans="1:36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>
        <f t="shared" si="1"/>
        <v>0</v>
      </c>
      <c r="AH29" s="72">
        <f t="shared" si="3"/>
        <v>0</v>
      </c>
      <c r="AJ29" s="21"/>
    </row>
    <row r="30" spans="1:36" s="18" customFormat="1" ht="15.75">
      <c r="A30" s="98" t="s">
        <v>16</v>
      </c>
      <c r="B30" s="97">
        <v>90.9</v>
      </c>
      <c r="C30" s="97">
        <v>73.30000000000001</v>
      </c>
      <c r="D30" s="72"/>
      <c r="E30" s="72"/>
      <c r="F30" s="72"/>
      <c r="G30" s="72"/>
      <c r="H30" s="72"/>
      <c r="I30" s="72"/>
      <c r="J30" s="72"/>
      <c r="K30" s="72"/>
      <c r="L30" s="72"/>
      <c r="M30" s="72">
        <v>100.3</v>
      </c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>
        <f t="shared" si="1"/>
        <v>100.3</v>
      </c>
      <c r="AH30" s="72">
        <f t="shared" si="3"/>
        <v>63.90000000000002</v>
      </c>
      <c r="AJ30" s="21"/>
    </row>
    <row r="31" spans="1:36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>
        <f t="shared" si="1"/>
        <v>0</v>
      </c>
      <c r="AH31" s="72">
        <f t="shared" si="3"/>
        <v>0</v>
      </c>
      <c r="AJ31" s="21"/>
    </row>
    <row r="32" spans="1:36" s="18" customFormat="1" ht="15.75">
      <c r="A32" s="98" t="s">
        <v>23</v>
      </c>
      <c r="B32" s="97">
        <f>B24-B30</f>
        <v>34827.2</v>
      </c>
      <c r="C32" s="97">
        <v>13972.800000000007</v>
      </c>
      <c r="D32" s="72">
        <f aca="true" t="shared" si="5" ref="D32:AE32">D24-D26-D27-D28-D29-D30-D31</f>
        <v>0</v>
      </c>
      <c r="E32" s="72">
        <f t="shared" si="5"/>
        <v>66</v>
      </c>
      <c r="F32" s="72">
        <f t="shared" si="5"/>
        <v>284.5</v>
      </c>
      <c r="G32" s="72">
        <f t="shared" si="5"/>
        <v>193.8</v>
      </c>
      <c r="H32" s="72">
        <f>H24-H26-H27-H28-H29-H30-H31</f>
        <v>117.8</v>
      </c>
      <c r="I32" s="72">
        <f t="shared" si="5"/>
        <v>150.5</v>
      </c>
      <c r="J32" s="72">
        <f t="shared" si="5"/>
        <v>1942.5</v>
      </c>
      <c r="K32" s="72">
        <f t="shared" si="5"/>
        <v>8633.699999999999</v>
      </c>
      <c r="L32" s="72">
        <f t="shared" si="5"/>
        <v>2034.2</v>
      </c>
      <c r="M32" s="72">
        <f t="shared" si="5"/>
        <v>0</v>
      </c>
      <c r="N32" s="72">
        <f t="shared" si="5"/>
        <v>0.9</v>
      </c>
      <c r="O32" s="72">
        <f t="shared" si="5"/>
        <v>0</v>
      </c>
      <c r="P32" s="72">
        <f t="shared" si="5"/>
        <v>2343.2</v>
      </c>
      <c r="Q32" s="72">
        <f t="shared" si="5"/>
        <v>4</v>
      </c>
      <c r="R32" s="72">
        <f t="shared" si="5"/>
        <v>8.9</v>
      </c>
      <c r="S32" s="72">
        <f t="shared" si="5"/>
        <v>180.1</v>
      </c>
      <c r="T32" s="72">
        <f t="shared" si="5"/>
        <v>0</v>
      </c>
      <c r="U32" s="72">
        <f t="shared" si="5"/>
        <v>1735.1</v>
      </c>
      <c r="V32" s="72">
        <f t="shared" si="5"/>
        <v>16041</v>
      </c>
      <c r="W32" s="72">
        <f t="shared" si="5"/>
        <v>0.1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>
        <f t="shared" si="5"/>
        <v>0</v>
      </c>
      <c r="AF32" s="72"/>
      <c r="AG32" s="72">
        <f t="shared" si="1"/>
        <v>33736.299999999996</v>
      </c>
      <c r="AH32" s="72">
        <f>AH24-AH30</f>
        <v>15063.700000000006</v>
      </c>
      <c r="AJ32" s="21"/>
    </row>
    <row r="33" spans="1:36" s="18" customFormat="1" ht="15" customHeight="1">
      <c r="A33" s="96" t="s">
        <v>8</v>
      </c>
      <c r="B33" s="97">
        <v>860.3</v>
      </c>
      <c r="C33" s="97">
        <v>170.80000000000018</v>
      </c>
      <c r="D33" s="72"/>
      <c r="E33" s="72"/>
      <c r="F33" s="72"/>
      <c r="G33" s="72"/>
      <c r="H33" s="72"/>
      <c r="I33" s="72"/>
      <c r="J33" s="72"/>
      <c r="K33" s="72">
        <v>49.5</v>
      </c>
      <c r="L33" s="72">
        <v>49.3</v>
      </c>
      <c r="M33" s="72"/>
      <c r="N33" s="72"/>
      <c r="O33" s="72"/>
      <c r="P33" s="72"/>
      <c r="Q33" s="72">
        <v>61.5</v>
      </c>
      <c r="R33" s="72"/>
      <c r="S33" s="72"/>
      <c r="T33" s="72"/>
      <c r="U33" s="72"/>
      <c r="V33" s="72"/>
      <c r="W33" s="72">
        <v>235.8</v>
      </c>
      <c r="X33" s="72"/>
      <c r="Y33" s="72"/>
      <c r="Z33" s="72"/>
      <c r="AA33" s="72"/>
      <c r="AB33" s="72"/>
      <c r="AC33" s="72"/>
      <c r="AD33" s="72"/>
      <c r="AE33" s="72"/>
      <c r="AF33" s="72"/>
      <c r="AG33" s="72">
        <f>SUM(D33:AE33)</f>
        <v>396.1</v>
      </c>
      <c r="AH33" s="72">
        <f aca="true" t="shared" si="6" ref="AH33:AH38">B33+C33-AG33</f>
        <v>635.0000000000001</v>
      </c>
      <c r="AJ33" s="21"/>
    </row>
    <row r="34" spans="1:36" s="18" customFormat="1" ht="15.75">
      <c r="A34" s="98" t="s">
        <v>5</v>
      </c>
      <c r="B34" s="97">
        <f>309-0.1</f>
        <v>308.9</v>
      </c>
      <c r="C34" s="97">
        <v>12.800000000000011</v>
      </c>
      <c r="D34" s="72"/>
      <c r="E34" s="72"/>
      <c r="F34" s="72"/>
      <c r="G34" s="72"/>
      <c r="H34" s="72"/>
      <c r="I34" s="72"/>
      <c r="J34" s="72"/>
      <c r="K34" s="72">
        <v>49.5</v>
      </c>
      <c r="L34" s="72">
        <v>34.4</v>
      </c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>
        <v>208.9</v>
      </c>
      <c r="X34" s="72"/>
      <c r="Y34" s="72"/>
      <c r="Z34" s="72"/>
      <c r="AA34" s="72"/>
      <c r="AB34" s="72"/>
      <c r="AC34" s="72"/>
      <c r="AD34" s="72"/>
      <c r="AE34" s="72"/>
      <c r="AF34" s="72"/>
      <c r="AG34" s="72">
        <f t="shared" si="1"/>
        <v>292.8</v>
      </c>
      <c r="AH34" s="72">
        <f t="shared" si="6"/>
        <v>28.899999999999977</v>
      </c>
      <c r="AJ34" s="21"/>
    </row>
    <row r="35" spans="1:36" s="18" customFormat="1" ht="15.75">
      <c r="A35" s="98" t="s">
        <v>1</v>
      </c>
      <c r="B35" s="97">
        <v>420</v>
      </c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>
        <f t="shared" si="1"/>
        <v>0</v>
      </c>
      <c r="AH35" s="72">
        <f t="shared" si="6"/>
        <v>420</v>
      </c>
      <c r="AJ35" s="21"/>
    </row>
    <row r="36" spans="1:36" s="18" customFormat="1" ht="15.75">
      <c r="A36" s="98" t="s">
        <v>2</v>
      </c>
      <c r="B36" s="105">
        <f>12.6-0.1</f>
        <v>12.5</v>
      </c>
      <c r="C36" s="97">
        <v>78.4</v>
      </c>
      <c r="D36" s="72"/>
      <c r="E36" s="72"/>
      <c r="F36" s="72"/>
      <c r="G36" s="72"/>
      <c r="H36" s="72"/>
      <c r="I36" s="72"/>
      <c r="J36" s="72"/>
      <c r="K36" s="72"/>
      <c r="L36" s="72">
        <v>13.9</v>
      </c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>
        <v>3.1</v>
      </c>
      <c r="X36" s="72"/>
      <c r="Y36" s="72"/>
      <c r="Z36" s="72"/>
      <c r="AA36" s="72"/>
      <c r="AB36" s="72"/>
      <c r="AC36" s="72"/>
      <c r="AD36" s="72"/>
      <c r="AE36" s="72"/>
      <c r="AF36" s="72"/>
      <c r="AG36" s="72">
        <f t="shared" si="1"/>
        <v>17</v>
      </c>
      <c r="AH36" s="72">
        <f t="shared" si="6"/>
        <v>73.9</v>
      </c>
      <c r="AJ36" s="21"/>
    </row>
    <row r="37" spans="1:36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>
        <f t="shared" si="1"/>
        <v>0</v>
      </c>
      <c r="AH37" s="72">
        <f t="shared" si="6"/>
        <v>0</v>
      </c>
      <c r="AJ37" s="21"/>
    </row>
    <row r="38" spans="1:36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>
        <f t="shared" si="1"/>
        <v>0</v>
      </c>
      <c r="AH38" s="72">
        <f t="shared" si="6"/>
        <v>0</v>
      </c>
      <c r="AJ38" s="21"/>
    </row>
    <row r="39" spans="1:36" s="18" customFormat="1" ht="15.75">
      <c r="A39" s="98" t="s">
        <v>23</v>
      </c>
      <c r="B39" s="97">
        <f aca="true" t="shared" si="7" ref="B39:AE39">B33-B34-B36-B38-B37-B35</f>
        <v>118.89999999999998</v>
      </c>
      <c r="C39" s="97">
        <v>79.60000000000016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>H33-H34-H36-H38-H37-H35</f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0.9999999999999982</v>
      </c>
      <c r="M39" s="72">
        <f t="shared" si="7"/>
        <v>0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61.5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23.800000000000004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>
        <f t="shared" si="7"/>
        <v>0</v>
      </c>
      <c r="AF39" s="72"/>
      <c r="AG39" s="72">
        <f t="shared" si="1"/>
        <v>86.30000000000001</v>
      </c>
      <c r="AH39" s="72">
        <f>AH33-AH34-AH36-AH38-AH35-AH37</f>
        <v>112.20000000000016</v>
      </c>
      <c r="AJ39" s="21"/>
    </row>
    <row r="40" spans="1:36" s="18" customFormat="1" ht="15" customHeight="1">
      <c r="A40" s="96" t="s">
        <v>29</v>
      </c>
      <c r="B40" s="97">
        <v>1395.3</v>
      </c>
      <c r="C40" s="97">
        <v>312.10000000000036</v>
      </c>
      <c r="D40" s="72"/>
      <c r="E40" s="72"/>
      <c r="F40" s="72"/>
      <c r="G40" s="72"/>
      <c r="H40" s="72"/>
      <c r="I40" s="72">
        <v>402.3</v>
      </c>
      <c r="J40" s="72">
        <v>20.1</v>
      </c>
      <c r="K40" s="72"/>
      <c r="L40" s="72"/>
      <c r="M40" s="72">
        <v>0.2</v>
      </c>
      <c r="N40" s="72">
        <v>4.4</v>
      </c>
      <c r="O40" s="72">
        <v>30.8</v>
      </c>
      <c r="P40" s="72"/>
      <c r="Q40" s="72"/>
      <c r="R40" s="72"/>
      <c r="S40" s="72"/>
      <c r="T40" s="72"/>
      <c r="U40" s="72"/>
      <c r="V40" s="72">
        <v>63.8</v>
      </c>
      <c r="W40" s="72">
        <v>859.4</v>
      </c>
      <c r="X40" s="72"/>
      <c r="Y40" s="72"/>
      <c r="Z40" s="72"/>
      <c r="AA40" s="72"/>
      <c r="AB40" s="72"/>
      <c r="AC40" s="72"/>
      <c r="AD40" s="72"/>
      <c r="AE40" s="72"/>
      <c r="AF40" s="72"/>
      <c r="AG40" s="72">
        <f t="shared" si="1"/>
        <v>1381</v>
      </c>
      <c r="AH40" s="72">
        <f aca="true" t="shared" si="8" ref="AH40:AH45">B40+C40-AG40</f>
        <v>326.4000000000003</v>
      </c>
      <c r="AJ40" s="21"/>
    </row>
    <row r="41" spans="1:36" s="18" customFormat="1" ht="15.75">
      <c r="A41" s="98" t="s">
        <v>5</v>
      </c>
      <c r="B41" s="97">
        <f>1276.6-0.2</f>
        <v>1276.3999999999999</v>
      </c>
      <c r="C41" s="97">
        <v>125.59999999999991</v>
      </c>
      <c r="D41" s="72"/>
      <c r="E41" s="72"/>
      <c r="F41" s="72"/>
      <c r="G41" s="72"/>
      <c r="H41" s="72"/>
      <c r="I41" s="72">
        <v>383.6</v>
      </c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>
        <v>7</v>
      </c>
      <c r="W41" s="72">
        <v>859.2</v>
      </c>
      <c r="X41" s="72"/>
      <c r="Y41" s="72"/>
      <c r="Z41" s="72"/>
      <c r="AA41" s="72"/>
      <c r="AB41" s="72"/>
      <c r="AC41" s="72"/>
      <c r="AD41" s="72"/>
      <c r="AE41" s="72"/>
      <c r="AF41" s="72"/>
      <c r="AG41" s="72">
        <f t="shared" si="1"/>
        <v>1249.8000000000002</v>
      </c>
      <c r="AH41" s="72">
        <f t="shared" si="8"/>
        <v>152.1999999999996</v>
      </c>
      <c r="AI41" s="21"/>
      <c r="AJ41" s="21"/>
    </row>
    <row r="42" spans="1:36" s="18" customFormat="1" ht="15.75">
      <c r="A42" s="98" t="s">
        <v>3</v>
      </c>
      <c r="B42" s="97">
        <v>0</v>
      </c>
      <c r="C42" s="97">
        <v>0.9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>
        <f t="shared" si="1"/>
        <v>0</v>
      </c>
      <c r="AH42" s="72">
        <f t="shared" si="8"/>
        <v>0.9</v>
      </c>
      <c r="AJ42" s="21"/>
    </row>
    <row r="43" spans="1:36" s="18" customFormat="1" ht="15.75">
      <c r="A43" s="98" t="s">
        <v>1</v>
      </c>
      <c r="B43" s="97">
        <v>10.8</v>
      </c>
      <c r="C43" s="97">
        <v>2.5000000000000018</v>
      </c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>
        <v>9.5</v>
      </c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>
        <f t="shared" si="1"/>
        <v>9.5</v>
      </c>
      <c r="AH43" s="72">
        <f t="shared" si="8"/>
        <v>3.8000000000000025</v>
      </c>
      <c r="AJ43" s="21"/>
    </row>
    <row r="44" spans="1:36" s="18" customFormat="1" ht="15.75">
      <c r="A44" s="98" t="s">
        <v>2</v>
      </c>
      <c r="B44" s="97">
        <v>74.9</v>
      </c>
      <c r="C44" s="97">
        <v>174.30000000000004</v>
      </c>
      <c r="D44" s="72"/>
      <c r="E44" s="72"/>
      <c r="F44" s="72"/>
      <c r="G44" s="72"/>
      <c r="H44" s="72"/>
      <c r="I44" s="72">
        <v>11.6</v>
      </c>
      <c r="J44" s="72">
        <v>20.1</v>
      </c>
      <c r="K44" s="72"/>
      <c r="L44" s="72"/>
      <c r="M44" s="72">
        <v>0.2</v>
      </c>
      <c r="N44" s="72"/>
      <c r="O44" s="72"/>
      <c r="P44" s="72"/>
      <c r="Q44" s="72"/>
      <c r="R44" s="72"/>
      <c r="S44" s="72"/>
      <c r="T44" s="72"/>
      <c r="U44" s="72"/>
      <c r="V44" s="72">
        <v>56.8</v>
      </c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>
        <f t="shared" si="1"/>
        <v>88.7</v>
      </c>
      <c r="AH44" s="72">
        <f t="shared" si="8"/>
        <v>160.50000000000006</v>
      </c>
      <c r="AJ44" s="21"/>
    </row>
    <row r="45" spans="1:36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>
        <f t="shared" si="1"/>
        <v>0</v>
      </c>
      <c r="AH45" s="72">
        <f t="shared" si="8"/>
        <v>0</v>
      </c>
      <c r="AJ45" s="21"/>
    </row>
    <row r="46" spans="1:36" s="18" customFormat="1" ht="15.75">
      <c r="A46" s="98" t="s">
        <v>23</v>
      </c>
      <c r="B46" s="97">
        <f aca="true" t="shared" si="9" ref="B46:AE46">B40-B41-B42-B43-B44-B45</f>
        <v>33.20000000000009</v>
      </c>
      <c r="C46" s="97">
        <v>8.80000000000041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>H40-H41-H42-H43-H44-H45</f>
        <v>0</v>
      </c>
      <c r="I46" s="72">
        <f t="shared" si="9"/>
        <v>7.099999999999989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0</v>
      </c>
      <c r="N46" s="72">
        <f t="shared" si="9"/>
        <v>4.4</v>
      </c>
      <c r="O46" s="72">
        <f t="shared" si="9"/>
        <v>21.3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0.1999999999999318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>
        <f t="shared" si="9"/>
        <v>0</v>
      </c>
      <c r="AF46" s="72"/>
      <c r="AG46" s="72">
        <f t="shared" si="1"/>
        <v>32.99999999999992</v>
      </c>
      <c r="AH46" s="72">
        <f>AH40-AH41-AH42-AH43-AH44-AH45</f>
        <v>9.000000000000654</v>
      </c>
      <c r="AJ46" s="21"/>
    </row>
    <row r="47" spans="1:36" s="18" customFormat="1" ht="17.25" customHeight="1">
      <c r="A47" s="96" t="s">
        <v>43</v>
      </c>
      <c r="B47" s="99">
        <f>6656.1-61.7-2400</f>
        <v>4194.400000000001</v>
      </c>
      <c r="C47" s="97">
        <f>3586.9+100</f>
        <v>3686.9</v>
      </c>
      <c r="D47" s="72"/>
      <c r="E47" s="80">
        <v>0</v>
      </c>
      <c r="F47" s="80">
        <v>11</v>
      </c>
      <c r="G47" s="80">
        <v>256</v>
      </c>
      <c r="H47" s="80">
        <v>1932.3</v>
      </c>
      <c r="I47" s="80">
        <v>55.7</v>
      </c>
      <c r="J47" s="80">
        <v>89.6</v>
      </c>
      <c r="K47" s="80"/>
      <c r="L47" s="80">
        <v>226.4</v>
      </c>
      <c r="M47" s="80">
        <v>270.6</v>
      </c>
      <c r="N47" s="80">
        <v>59.6</v>
      </c>
      <c r="O47" s="80">
        <v>10</v>
      </c>
      <c r="P47" s="80">
        <v>1805.8</v>
      </c>
      <c r="Q47" s="80">
        <v>11.7</v>
      </c>
      <c r="R47" s="80">
        <v>1.4</v>
      </c>
      <c r="S47" s="80">
        <v>98.5</v>
      </c>
      <c r="T47" s="80">
        <v>184.6</v>
      </c>
      <c r="U47" s="80">
        <v>37.9</v>
      </c>
      <c r="V47" s="80">
        <v>396.2</v>
      </c>
      <c r="W47" s="80">
        <v>274.1</v>
      </c>
      <c r="X47" s="80">
        <v>56.2</v>
      </c>
      <c r="Y47" s="80">
        <v>2</v>
      </c>
      <c r="Z47" s="80"/>
      <c r="AA47" s="80"/>
      <c r="AB47" s="80"/>
      <c r="AC47" s="80"/>
      <c r="AD47" s="80"/>
      <c r="AE47" s="80"/>
      <c r="AF47" s="80"/>
      <c r="AG47" s="72">
        <f t="shared" si="1"/>
        <v>5779.599999999999</v>
      </c>
      <c r="AH47" s="72">
        <f>B47+C47-AG47</f>
        <v>2101.7000000000016</v>
      </c>
      <c r="AJ47" s="21"/>
    </row>
    <row r="48" spans="1:36" s="18" customFormat="1" ht="15.75">
      <c r="A48" s="98" t="s">
        <v>5</v>
      </c>
      <c r="B48" s="97">
        <f>1640-B34-B41-0.4</f>
        <v>54.30000000000005</v>
      </c>
      <c r="C48" s="97">
        <v>89.5</v>
      </c>
      <c r="D48" s="72"/>
      <c r="E48" s="80"/>
      <c r="F48" s="80"/>
      <c r="G48" s="80"/>
      <c r="H48" s="80"/>
      <c r="I48" s="80"/>
      <c r="J48" s="80"/>
      <c r="K48" s="80"/>
      <c r="L48" s="80">
        <v>40.4</v>
      </c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>
        <v>6</v>
      </c>
      <c r="Y48" s="80"/>
      <c r="Z48" s="80"/>
      <c r="AA48" s="80"/>
      <c r="AB48" s="80"/>
      <c r="AC48" s="80"/>
      <c r="AD48" s="80"/>
      <c r="AE48" s="80"/>
      <c r="AF48" s="80"/>
      <c r="AG48" s="72">
        <f t="shared" si="1"/>
        <v>46.4</v>
      </c>
      <c r="AH48" s="72">
        <f>B48+C48-AG48</f>
        <v>97.40000000000003</v>
      </c>
      <c r="AJ48" s="21"/>
    </row>
    <row r="49" spans="1:36" s="18" customFormat="1" ht="15.75">
      <c r="A49" s="98" t="s">
        <v>16</v>
      </c>
      <c r="B49" s="97">
        <f>5749.5-0.2-61.7-1500</f>
        <v>4187.6</v>
      </c>
      <c r="C49" s="97">
        <v>1910.300000000001</v>
      </c>
      <c r="D49" s="72"/>
      <c r="E49" s="72"/>
      <c r="F49" s="72"/>
      <c r="G49" s="72">
        <v>235.8</v>
      </c>
      <c r="H49" s="72">
        <v>1919</v>
      </c>
      <c r="I49" s="72">
        <v>31.6</v>
      </c>
      <c r="J49" s="72"/>
      <c r="K49" s="72"/>
      <c r="L49" s="72">
        <v>186</v>
      </c>
      <c r="M49" s="72">
        <v>56.4</v>
      </c>
      <c r="N49" s="72">
        <v>59.6</v>
      </c>
      <c r="O49" s="72">
        <v>10</v>
      </c>
      <c r="P49" s="72">
        <v>1790.4</v>
      </c>
      <c r="Q49" s="72">
        <v>11.7</v>
      </c>
      <c r="R49" s="72">
        <v>1.4</v>
      </c>
      <c r="S49" s="72">
        <v>98.5</v>
      </c>
      <c r="T49" s="72">
        <v>100</v>
      </c>
      <c r="U49" s="72"/>
      <c r="V49" s="72">
        <f>37.4+50</f>
        <v>87.4</v>
      </c>
      <c r="W49" s="72">
        <f>5.4+174+11</f>
        <v>190.4</v>
      </c>
      <c r="X49" s="72">
        <v>50.2</v>
      </c>
      <c r="Y49" s="72">
        <v>2</v>
      </c>
      <c r="Z49" s="72"/>
      <c r="AA49" s="72"/>
      <c r="AB49" s="72"/>
      <c r="AC49" s="72"/>
      <c r="AD49" s="72"/>
      <c r="AE49" s="72"/>
      <c r="AF49" s="72"/>
      <c r="AG49" s="72">
        <f t="shared" si="1"/>
        <v>4830.399999999999</v>
      </c>
      <c r="AH49" s="72">
        <f>B49+C49-AG49</f>
        <v>1267.5000000000027</v>
      </c>
      <c r="AJ49" s="21"/>
    </row>
    <row r="50" spans="1:36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>
        <f t="shared" si="1"/>
        <v>0</v>
      </c>
      <c r="AH50" s="72">
        <f>B50+C50-AG50</f>
        <v>0</v>
      </c>
      <c r="AJ50" s="21"/>
    </row>
    <row r="51" spans="1:36" s="18" customFormat="1" ht="15.75">
      <c r="A51" s="107" t="s">
        <v>23</v>
      </c>
      <c r="B51" s="97">
        <f aca="true" t="shared" si="10" ref="B51:AE51">B47-B48-B49</f>
        <v>-47.5</v>
      </c>
      <c r="C51" s="97">
        <v>1587.1000000000013</v>
      </c>
      <c r="D51" s="72">
        <f t="shared" si="10"/>
        <v>0</v>
      </c>
      <c r="E51" s="72">
        <f t="shared" si="10"/>
        <v>0</v>
      </c>
      <c r="F51" s="72">
        <f t="shared" si="10"/>
        <v>11</v>
      </c>
      <c r="G51" s="72">
        <f t="shared" si="10"/>
        <v>20.19999999999999</v>
      </c>
      <c r="H51" s="72">
        <f>H47-H48-H49</f>
        <v>13.299999999999955</v>
      </c>
      <c r="I51" s="72">
        <f t="shared" si="10"/>
        <v>24.1</v>
      </c>
      <c r="J51" s="72">
        <f t="shared" si="10"/>
        <v>89.6</v>
      </c>
      <c r="K51" s="72">
        <f t="shared" si="10"/>
        <v>0</v>
      </c>
      <c r="L51" s="72">
        <f t="shared" si="10"/>
        <v>0</v>
      </c>
      <c r="M51" s="72">
        <f t="shared" si="10"/>
        <v>214.20000000000002</v>
      </c>
      <c r="N51" s="72">
        <f t="shared" si="10"/>
        <v>0</v>
      </c>
      <c r="O51" s="72">
        <f t="shared" si="10"/>
        <v>0</v>
      </c>
      <c r="P51" s="72">
        <f t="shared" si="10"/>
        <v>15.399999999999864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84.6</v>
      </c>
      <c r="U51" s="72">
        <f t="shared" si="10"/>
        <v>37.9</v>
      </c>
      <c r="V51" s="72">
        <f t="shared" si="10"/>
        <v>308.79999999999995</v>
      </c>
      <c r="W51" s="72">
        <f t="shared" si="10"/>
        <v>83.70000000000002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>
        <f t="shared" si="10"/>
        <v>0</v>
      </c>
      <c r="AF51" s="72"/>
      <c r="AG51" s="72">
        <f t="shared" si="1"/>
        <v>902.7999999999998</v>
      </c>
      <c r="AH51" s="72">
        <f>AH47-AH49-AH48</f>
        <v>736.7999999999988</v>
      </c>
      <c r="AJ51" s="21"/>
    </row>
    <row r="52" spans="1:36" s="18" customFormat="1" ht="15" customHeight="1">
      <c r="A52" s="96" t="s">
        <v>0</v>
      </c>
      <c r="B52" s="97">
        <f>8905-49.5-900-1300-81+718+90</f>
        <v>7382.5</v>
      </c>
      <c r="C52" s="97">
        <v>4215.599999999995</v>
      </c>
      <c r="D52" s="72"/>
      <c r="E52" s="72">
        <v>0</v>
      </c>
      <c r="F52" s="72">
        <v>1033.7</v>
      </c>
      <c r="G52" s="72">
        <v>299</v>
      </c>
      <c r="H52" s="72">
        <v>788.3</v>
      </c>
      <c r="I52" s="72">
        <v>504</v>
      </c>
      <c r="J52" s="72">
        <v>976.5</v>
      </c>
      <c r="K52" s="72">
        <v>145.6</v>
      </c>
      <c r="L52" s="72">
        <v>720.1</v>
      </c>
      <c r="M52" s="72">
        <v>36.3</v>
      </c>
      <c r="N52" s="72">
        <v>55.7</v>
      </c>
      <c r="O52" s="72"/>
      <c r="P52" s="72">
        <v>1776.3</v>
      </c>
      <c r="Q52" s="72">
        <v>7.4</v>
      </c>
      <c r="R52" s="72">
        <v>3</v>
      </c>
      <c r="S52" s="72"/>
      <c r="T52" s="72">
        <v>1416.6</v>
      </c>
      <c r="U52" s="72"/>
      <c r="V52" s="72">
        <v>988.8</v>
      </c>
      <c r="W52" s="72">
        <v>825.3</v>
      </c>
      <c r="X52" s="72"/>
      <c r="Y52" s="72"/>
      <c r="Z52" s="72"/>
      <c r="AA52" s="72"/>
      <c r="AB52" s="72"/>
      <c r="AC52" s="72"/>
      <c r="AD52" s="72"/>
      <c r="AE52" s="72"/>
      <c r="AF52" s="72"/>
      <c r="AG52" s="72">
        <f t="shared" si="1"/>
        <v>9576.599999999999</v>
      </c>
      <c r="AH52" s="72">
        <f aca="true" t="shared" si="11" ref="AH52:AH59">B52+C52-AG52</f>
        <v>2021.4999999999964</v>
      </c>
      <c r="AJ52" s="21"/>
    </row>
    <row r="53" spans="1:36" s="18" customFormat="1" ht="15" customHeight="1">
      <c r="A53" s="98" t="s">
        <v>2</v>
      </c>
      <c r="B53" s="97">
        <f>1178.5-600</f>
        <v>578.5</v>
      </c>
      <c r="C53" s="97">
        <v>1234.2999999999997</v>
      </c>
      <c r="D53" s="72"/>
      <c r="E53" s="72">
        <v>0</v>
      </c>
      <c r="F53" s="72">
        <v>1033.7</v>
      </c>
      <c r="G53" s="72"/>
      <c r="H53" s="72"/>
      <c r="I53" s="72"/>
      <c r="J53" s="72">
        <v>0.3</v>
      </c>
      <c r="K53" s="72"/>
      <c r="L53" s="72">
        <v>164.7</v>
      </c>
      <c r="M53" s="72"/>
      <c r="N53" s="72"/>
      <c r="O53" s="72"/>
      <c r="P53" s="72"/>
      <c r="Q53" s="72"/>
      <c r="R53" s="72"/>
      <c r="S53" s="72"/>
      <c r="T53" s="72">
        <v>461.5</v>
      </c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>
        <f t="shared" si="1"/>
        <v>1660.2</v>
      </c>
      <c r="AH53" s="72">
        <f t="shared" si="11"/>
        <v>152.59999999999968</v>
      </c>
      <c r="AJ53" s="21"/>
    </row>
    <row r="54" spans="1:36" s="18" customFormat="1" ht="15" customHeight="1">
      <c r="A54" s="96" t="s">
        <v>9</v>
      </c>
      <c r="B54" s="105">
        <v>2621.8</v>
      </c>
      <c r="C54" s="97">
        <v>946.4999999999995</v>
      </c>
      <c r="D54" s="72"/>
      <c r="E54" s="72"/>
      <c r="F54" s="72">
        <v>185.8</v>
      </c>
      <c r="G54" s="72"/>
      <c r="H54" s="72">
        <v>167.7</v>
      </c>
      <c r="I54" s="72">
        <v>21.7</v>
      </c>
      <c r="J54" s="72"/>
      <c r="K54" s="72">
        <v>135.6</v>
      </c>
      <c r="L54" s="72">
        <v>509</v>
      </c>
      <c r="M54" s="72">
        <v>5.2</v>
      </c>
      <c r="N54" s="72">
        <v>212.9</v>
      </c>
      <c r="O54" s="72"/>
      <c r="P54" s="72">
        <v>78.3</v>
      </c>
      <c r="Q54" s="72"/>
      <c r="R54" s="72">
        <v>42</v>
      </c>
      <c r="S54" s="72">
        <v>36.8</v>
      </c>
      <c r="T54" s="72"/>
      <c r="U54" s="72">
        <v>20.7</v>
      </c>
      <c r="V54" s="72">
        <v>245.8</v>
      </c>
      <c r="W54" s="72">
        <v>658.7</v>
      </c>
      <c r="X54" s="72">
        <v>30.6</v>
      </c>
      <c r="Y54" s="72"/>
      <c r="Z54" s="72">
        <v>7</v>
      </c>
      <c r="AA54" s="72"/>
      <c r="AB54" s="72"/>
      <c r="AC54" s="72"/>
      <c r="AD54" s="72"/>
      <c r="AE54" s="72"/>
      <c r="AF54" s="72"/>
      <c r="AG54" s="72">
        <f t="shared" si="1"/>
        <v>2357.7999999999997</v>
      </c>
      <c r="AH54" s="72">
        <f t="shared" si="11"/>
        <v>1210.5</v>
      </c>
      <c r="AI54" s="21"/>
      <c r="AJ54" s="21"/>
    </row>
    <row r="55" spans="1:36" s="18" customFormat="1" ht="15.75">
      <c r="A55" s="98" t="s">
        <v>5</v>
      </c>
      <c r="B55" s="97">
        <f>1249-0.1</f>
        <v>1248.9</v>
      </c>
      <c r="C55" s="97">
        <v>285.39999999999986</v>
      </c>
      <c r="D55" s="72"/>
      <c r="E55" s="72"/>
      <c r="F55" s="72"/>
      <c r="G55" s="72"/>
      <c r="H55" s="72"/>
      <c r="I55" s="72">
        <v>14.3</v>
      </c>
      <c r="J55" s="72"/>
      <c r="K55" s="72">
        <v>100.6</v>
      </c>
      <c r="L55" s="72">
        <v>400.5</v>
      </c>
      <c r="M55" s="72"/>
      <c r="N55" s="72"/>
      <c r="O55" s="72"/>
      <c r="P55" s="72"/>
      <c r="Q55" s="72"/>
      <c r="R55" s="72"/>
      <c r="S55" s="72"/>
      <c r="T55" s="72"/>
      <c r="U55" s="72"/>
      <c r="V55" s="72">
        <v>180.4</v>
      </c>
      <c r="W55" s="72">
        <v>615.1</v>
      </c>
      <c r="X55" s="72"/>
      <c r="Y55" s="72"/>
      <c r="Z55" s="72"/>
      <c r="AA55" s="72"/>
      <c r="AB55" s="72"/>
      <c r="AC55" s="72"/>
      <c r="AD55" s="72"/>
      <c r="AE55" s="72"/>
      <c r="AF55" s="72"/>
      <c r="AG55" s="72">
        <f t="shared" si="1"/>
        <v>1310.9</v>
      </c>
      <c r="AH55" s="72">
        <f t="shared" si="11"/>
        <v>223.39999999999986</v>
      </c>
      <c r="AI55" s="21"/>
      <c r="AJ55" s="21"/>
    </row>
    <row r="56" spans="1:36" s="18" customFormat="1" ht="15" customHeight="1">
      <c r="A56" s="98" t="s">
        <v>1</v>
      </c>
      <c r="B56" s="97">
        <f>27.5+2.6</f>
        <v>30.1</v>
      </c>
      <c r="C56" s="97">
        <v>0</v>
      </c>
      <c r="D56" s="72"/>
      <c r="E56" s="72"/>
      <c r="F56" s="72"/>
      <c r="G56" s="72"/>
      <c r="H56" s="72"/>
      <c r="I56" s="72"/>
      <c r="J56" s="72"/>
      <c r="K56" s="72">
        <v>26.2</v>
      </c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>
        <v>3.9</v>
      </c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>
        <f t="shared" si="1"/>
        <v>30.099999999999998</v>
      </c>
      <c r="AH56" s="72">
        <f t="shared" si="11"/>
        <v>0</v>
      </c>
      <c r="AI56" s="21"/>
      <c r="AJ56" s="21"/>
    </row>
    <row r="57" spans="1:36" s="18" customFormat="1" ht="15.75">
      <c r="A57" s="98" t="s">
        <v>2</v>
      </c>
      <c r="B57" s="99">
        <v>20.4</v>
      </c>
      <c r="C57" s="97">
        <v>265.99999999999994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>
        <v>12.2</v>
      </c>
      <c r="S57" s="72">
        <v>25.8</v>
      </c>
      <c r="T57" s="72"/>
      <c r="U57" s="72"/>
      <c r="V57" s="72">
        <v>7.1</v>
      </c>
      <c r="W57" s="72">
        <v>2.1</v>
      </c>
      <c r="X57" s="72"/>
      <c r="Y57" s="72"/>
      <c r="Z57" s="72"/>
      <c r="AA57" s="72"/>
      <c r="AB57" s="72"/>
      <c r="AC57" s="72"/>
      <c r="AD57" s="72"/>
      <c r="AE57" s="72"/>
      <c r="AF57" s="72"/>
      <c r="AG57" s="72">
        <f t="shared" si="1"/>
        <v>47.2</v>
      </c>
      <c r="AH57" s="72">
        <f t="shared" si="11"/>
        <v>239.19999999999993</v>
      </c>
      <c r="AJ57" s="21"/>
    </row>
    <row r="58" spans="1:36" s="18" customFormat="1" ht="15.75">
      <c r="A58" s="98" t="s">
        <v>16</v>
      </c>
      <c r="B58" s="99">
        <f>36.8-7</f>
        <v>29.799999999999997</v>
      </c>
      <c r="C58" s="97">
        <v>25.699999999999996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>
        <f t="shared" si="1"/>
        <v>0</v>
      </c>
      <c r="AH58" s="72">
        <f t="shared" si="11"/>
        <v>55.49999999999999</v>
      </c>
      <c r="AJ58" s="21"/>
    </row>
    <row r="59" spans="1:36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>
        <f t="shared" si="1"/>
        <v>0</v>
      </c>
      <c r="AH59" s="72">
        <f t="shared" si="11"/>
        <v>0</v>
      </c>
      <c r="AJ59" s="21"/>
    </row>
    <row r="60" spans="1:36" s="18" customFormat="1" ht="15.75">
      <c r="A60" s="98" t="s">
        <v>23</v>
      </c>
      <c r="B60" s="97">
        <f aca="true" t="shared" si="12" ref="B60:AE60">B54-B55-B57-B59-B56-B58</f>
        <v>1292.6000000000001</v>
      </c>
      <c r="C60" s="97">
        <v>369.39999999999975</v>
      </c>
      <c r="D60" s="72">
        <f t="shared" si="12"/>
        <v>0</v>
      </c>
      <c r="E60" s="72">
        <f t="shared" si="12"/>
        <v>0</v>
      </c>
      <c r="F60" s="72">
        <f t="shared" si="12"/>
        <v>185.8</v>
      </c>
      <c r="G60" s="72">
        <f t="shared" si="12"/>
        <v>0</v>
      </c>
      <c r="H60" s="72">
        <f>H54-H55-H57-H59-H56-H58</f>
        <v>167.7</v>
      </c>
      <c r="I60" s="72">
        <f t="shared" si="12"/>
        <v>7.399999999999999</v>
      </c>
      <c r="J60" s="72">
        <f t="shared" si="12"/>
        <v>0</v>
      </c>
      <c r="K60" s="72">
        <f t="shared" si="12"/>
        <v>8.8</v>
      </c>
      <c r="L60" s="72">
        <f t="shared" si="12"/>
        <v>108.5</v>
      </c>
      <c r="M60" s="72">
        <f t="shared" si="12"/>
        <v>5.2</v>
      </c>
      <c r="N60" s="72">
        <f t="shared" si="12"/>
        <v>212.9</v>
      </c>
      <c r="O60" s="72">
        <f t="shared" si="12"/>
        <v>0</v>
      </c>
      <c r="P60" s="72">
        <f t="shared" si="12"/>
        <v>78.3</v>
      </c>
      <c r="Q60" s="72">
        <f t="shared" si="12"/>
        <v>0</v>
      </c>
      <c r="R60" s="72">
        <f t="shared" si="12"/>
        <v>29.8</v>
      </c>
      <c r="S60" s="72">
        <f t="shared" si="12"/>
        <v>10.999999999999996</v>
      </c>
      <c r="T60" s="72">
        <f t="shared" si="12"/>
        <v>0</v>
      </c>
      <c r="U60" s="72">
        <f t="shared" si="12"/>
        <v>20.7</v>
      </c>
      <c r="V60" s="72">
        <f t="shared" si="12"/>
        <v>54.400000000000006</v>
      </c>
      <c r="W60" s="72">
        <f t="shared" si="12"/>
        <v>41.50000000000002</v>
      </c>
      <c r="X60" s="72">
        <f t="shared" si="12"/>
        <v>30.6</v>
      </c>
      <c r="Y60" s="72">
        <f t="shared" si="12"/>
        <v>0</v>
      </c>
      <c r="Z60" s="72">
        <f t="shared" si="12"/>
        <v>7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>
        <f t="shared" si="12"/>
        <v>0</v>
      </c>
      <c r="AF60" s="72"/>
      <c r="AG60" s="72">
        <f>AG54-AG55-AG57-AG59-AG56-AG58</f>
        <v>969.5999999999996</v>
      </c>
      <c r="AH60" s="72">
        <f>AH54-AH55-AH57-AH59-AH56-AH58</f>
        <v>692.4000000000002</v>
      </c>
      <c r="AJ60" s="21"/>
    </row>
    <row r="61" spans="1:36" s="18" customFormat="1" ht="15" customHeight="1">
      <c r="A61" s="96" t="s">
        <v>10</v>
      </c>
      <c r="B61" s="97">
        <v>88.9</v>
      </c>
      <c r="C61" s="97">
        <v>59.8</v>
      </c>
      <c r="D61" s="72"/>
      <c r="E61" s="72"/>
      <c r="F61" s="72"/>
      <c r="G61" s="72"/>
      <c r="H61" s="72"/>
      <c r="I61" s="72">
        <v>10</v>
      </c>
      <c r="J61" s="72"/>
      <c r="K61" s="72"/>
      <c r="L61" s="72">
        <v>10.1</v>
      </c>
      <c r="M61" s="72">
        <v>18.6</v>
      </c>
      <c r="N61" s="72"/>
      <c r="O61" s="72"/>
      <c r="P61" s="72"/>
      <c r="Q61" s="72">
        <v>9</v>
      </c>
      <c r="R61" s="72">
        <v>50.3</v>
      </c>
      <c r="S61" s="72"/>
      <c r="T61" s="72">
        <v>7</v>
      </c>
      <c r="U61" s="72">
        <v>2</v>
      </c>
      <c r="V61" s="72"/>
      <c r="W61" s="72"/>
      <c r="X61" s="72">
        <v>8</v>
      </c>
      <c r="Y61" s="72"/>
      <c r="Z61" s="72"/>
      <c r="AA61" s="72"/>
      <c r="AB61" s="72"/>
      <c r="AC61" s="72"/>
      <c r="AD61" s="72"/>
      <c r="AE61" s="72"/>
      <c r="AF61" s="72"/>
      <c r="AG61" s="72">
        <f aca="true" t="shared" si="13" ref="AG61:AG92">SUM(D61:AE61)</f>
        <v>115</v>
      </c>
      <c r="AH61" s="72">
        <f aca="true" t="shared" si="14" ref="AH61:AH67">B61+C61-AG61</f>
        <v>33.69999999999999</v>
      </c>
      <c r="AJ61" s="21"/>
    </row>
    <row r="62" spans="1:36" s="18" customFormat="1" ht="15" customHeight="1">
      <c r="A62" s="96" t="s">
        <v>11</v>
      </c>
      <c r="B62" s="97">
        <f>4807.6-0.1</f>
        <v>4807.5</v>
      </c>
      <c r="C62" s="97">
        <v>4831.4</v>
      </c>
      <c r="D62" s="72"/>
      <c r="E62" s="72"/>
      <c r="F62" s="72"/>
      <c r="G62" s="72">
        <f>111.2+0.9</f>
        <v>112.10000000000001</v>
      </c>
      <c r="H62" s="72"/>
      <c r="I62" s="72">
        <v>17.3</v>
      </c>
      <c r="J62" s="72">
        <v>739.5</v>
      </c>
      <c r="K62" s="72">
        <v>444.4</v>
      </c>
      <c r="L62" s="72">
        <v>20.9</v>
      </c>
      <c r="M62" s="72">
        <v>23.9</v>
      </c>
      <c r="N62" s="72"/>
      <c r="O62" s="72"/>
      <c r="P62" s="72">
        <v>170.6</v>
      </c>
      <c r="Q62" s="72">
        <v>0.2</v>
      </c>
      <c r="R62" s="72"/>
      <c r="S62" s="72">
        <v>2.6</v>
      </c>
      <c r="T62" s="72">
        <v>429.3</v>
      </c>
      <c r="U62" s="72"/>
      <c r="V62" s="72">
        <v>1723.7</v>
      </c>
      <c r="W62" s="72">
        <f>269.1-0.2</f>
        <v>268.90000000000003</v>
      </c>
      <c r="X62" s="72">
        <v>25.4</v>
      </c>
      <c r="Y62" s="72">
        <f>5.4+97.7</f>
        <v>103.10000000000001</v>
      </c>
      <c r="Z62" s="72"/>
      <c r="AA62" s="72"/>
      <c r="AB62" s="72"/>
      <c r="AC62" s="72"/>
      <c r="AD62" s="72"/>
      <c r="AE62" s="72"/>
      <c r="AF62" s="72"/>
      <c r="AG62" s="72">
        <f t="shared" si="13"/>
        <v>4081.9</v>
      </c>
      <c r="AH62" s="72">
        <f t="shared" si="14"/>
        <v>5557</v>
      </c>
      <c r="AJ62" s="21"/>
    </row>
    <row r="63" spans="1:36" s="18" customFormat="1" ht="15.75">
      <c r="A63" s="98" t="s">
        <v>5</v>
      </c>
      <c r="B63" s="97">
        <v>2514</v>
      </c>
      <c r="C63" s="97">
        <v>1047</v>
      </c>
      <c r="D63" s="72"/>
      <c r="E63" s="72"/>
      <c r="F63" s="72"/>
      <c r="G63" s="72"/>
      <c r="H63" s="72"/>
      <c r="I63" s="72">
        <v>17.3</v>
      </c>
      <c r="J63" s="72">
        <v>739.5</v>
      </c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>
        <v>1432.2</v>
      </c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>
        <f t="shared" si="13"/>
        <v>2189</v>
      </c>
      <c r="AH63" s="72">
        <f t="shared" si="14"/>
        <v>1372</v>
      </c>
      <c r="AI63" s="108"/>
      <c r="AJ63" s="21"/>
    </row>
    <row r="64" spans="1:36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>
        <f t="shared" si="13"/>
        <v>0</v>
      </c>
      <c r="AH64" s="72">
        <f t="shared" si="14"/>
        <v>0</v>
      </c>
      <c r="AI64" s="21"/>
      <c r="AJ64" s="21"/>
    </row>
    <row r="65" spans="1:36" s="18" customFormat="1" ht="15.75">
      <c r="A65" s="98" t="s">
        <v>1</v>
      </c>
      <c r="B65" s="97">
        <f>377.8+0.1-3.1</f>
        <v>374.8</v>
      </c>
      <c r="C65" s="97">
        <v>569.9000000000001</v>
      </c>
      <c r="D65" s="72"/>
      <c r="E65" s="72"/>
      <c r="F65" s="72"/>
      <c r="G65" s="72"/>
      <c r="H65" s="72"/>
      <c r="I65" s="72"/>
      <c r="J65" s="72"/>
      <c r="K65" s="72">
        <v>84</v>
      </c>
      <c r="L65" s="72">
        <v>7.3</v>
      </c>
      <c r="M65" s="72"/>
      <c r="N65" s="72"/>
      <c r="O65" s="72"/>
      <c r="P65" s="72">
        <v>8.9</v>
      </c>
      <c r="Q65" s="72">
        <v>0.2</v>
      </c>
      <c r="R65" s="72"/>
      <c r="S65" s="72"/>
      <c r="T65" s="72">
        <v>110.8</v>
      </c>
      <c r="U65" s="72"/>
      <c r="V65" s="72"/>
      <c r="W65" s="72">
        <f>122.9-0.1</f>
        <v>122.80000000000001</v>
      </c>
      <c r="X65" s="72"/>
      <c r="Y65" s="72">
        <v>5.4</v>
      </c>
      <c r="Z65" s="72"/>
      <c r="AA65" s="72"/>
      <c r="AB65" s="72"/>
      <c r="AC65" s="72"/>
      <c r="AD65" s="72"/>
      <c r="AE65" s="72"/>
      <c r="AF65" s="72"/>
      <c r="AG65" s="72">
        <f t="shared" si="13"/>
        <v>339.4</v>
      </c>
      <c r="AH65" s="72">
        <f t="shared" si="14"/>
        <v>605.3000000000001</v>
      </c>
      <c r="AI65" s="21"/>
      <c r="AJ65" s="21"/>
    </row>
    <row r="66" spans="1:36" s="18" customFormat="1" ht="15.75">
      <c r="A66" s="98" t="s">
        <v>2</v>
      </c>
      <c r="B66" s="97">
        <f>50.6+1.1</f>
        <v>51.7</v>
      </c>
      <c r="C66" s="97">
        <f>139.5+3.7</f>
        <v>143.2</v>
      </c>
      <c r="D66" s="72"/>
      <c r="E66" s="72"/>
      <c r="F66" s="72"/>
      <c r="G66" s="72">
        <f>23+1</f>
        <v>24</v>
      </c>
      <c r="H66" s="72"/>
      <c r="I66" s="72"/>
      <c r="J66" s="72"/>
      <c r="K66" s="72">
        <v>16.4</v>
      </c>
      <c r="L66" s="72"/>
      <c r="M66" s="72"/>
      <c r="N66" s="72"/>
      <c r="O66" s="72"/>
      <c r="P66" s="72">
        <v>1</v>
      </c>
      <c r="Q66" s="72"/>
      <c r="R66" s="72"/>
      <c r="S66" s="72"/>
      <c r="T66" s="72"/>
      <c r="U66" s="72"/>
      <c r="V66" s="72"/>
      <c r="W66" s="72">
        <v>37.3</v>
      </c>
      <c r="X66" s="72">
        <v>17.3</v>
      </c>
      <c r="Y66" s="72"/>
      <c r="Z66" s="72"/>
      <c r="AA66" s="72"/>
      <c r="AB66" s="72"/>
      <c r="AC66" s="72"/>
      <c r="AD66" s="72"/>
      <c r="AE66" s="72"/>
      <c r="AF66" s="72"/>
      <c r="AG66" s="72">
        <f t="shared" si="13"/>
        <v>95.99999999999999</v>
      </c>
      <c r="AH66" s="72">
        <f t="shared" si="14"/>
        <v>98.89999999999999</v>
      </c>
      <c r="AJ66" s="21"/>
    </row>
    <row r="67" spans="1:36" s="18" customFormat="1" ht="15.75">
      <c r="A67" s="98" t="s">
        <v>16</v>
      </c>
      <c r="B67" s="97">
        <v>68</v>
      </c>
      <c r="C67" s="97">
        <v>742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>
        <v>245</v>
      </c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>
        <f t="shared" si="13"/>
        <v>245</v>
      </c>
      <c r="AH67" s="72">
        <f t="shared" si="14"/>
        <v>565</v>
      </c>
      <c r="AJ67" s="21"/>
    </row>
    <row r="68" spans="1:36" s="18" customFormat="1" ht="15.75">
      <c r="A68" s="98" t="s">
        <v>23</v>
      </c>
      <c r="B68" s="97">
        <f aca="true" t="shared" si="15" ref="B68:AE68">B62-B63-B66-B67-B65-B64</f>
        <v>1799.0000000000002</v>
      </c>
      <c r="C68" s="97">
        <v>2332.9999999999995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88.10000000000001</v>
      </c>
      <c r="H68" s="72">
        <f>H62-H63-H66-H67-H65-H64</f>
        <v>0</v>
      </c>
      <c r="I68" s="72">
        <f t="shared" si="15"/>
        <v>0</v>
      </c>
      <c r="J68" s="72">
        <f t="shared" si="15"/>
        <v>0</v>
      </c>
      <c r="K68" s="72">
        <f t="shared" si="15"/>
        <v>344</v>
      </c>
      <c r="L68" s="72">
        <f t="shared" si="15"/>
        <v>13.599999999999998</v>
      </c>
      <c r="M68" s="72">
        <f t="shared" si="15"/>
        <v>23.9</v>
      </c>
      <c r="N68" s="72">
        <f t="shared" si="15"/>
        <v>0</v>
      </c>
      <c r="O68" s="72">
        <f t="shared" si="15"/>
        <v>0</v>
      </c>
      <c r="P68" s="72">
        <f t="shared" si="15"/>
        <v>160.7</v>
      </c>
      <c r="Q68" s="72">
        <f t="shared" si="15"/>
        <v>0</v>
      </c>
      <c r="R68" s="72">
        <f t="shared" si="15"/>
        <v>0</v>
      </c>
      <c r="S68" s="72">
        <f t="shared" si="15"/>
        <v>2.6</v>
      </c>
      <c r="T68" s="72">
        <f t="shared" si="15"/>
        <v>73.50000000000001</v>
      </c>
      <c r="U68" s="72">
        <f t="shared" si="15"/>
        <v>0</v>
      </c>
      <c r="V68" s="72">
        <f t="shared" si="15"/>
        <v>291.5</v>
      </c>
      <c r="W68" s="72">
        <f t="shared" si="15"/>
        <v>108.80000000000001</v>
      </c>
      <c r="X68" s="72">
        <f t="shared" si="15"/>
        <v>8.099999999999998</v>
      </c>
      <c r="Y68" s="72">
        <f t="shared" si="15"/>
        <v>97.7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>
        <f t="shared" si="15"/>
        <v>0</v>
      </c>
      <c r="AF68" s="72"/>
      <c r="AG68" s="72">
        <f t="shared" si="13"/>
        <v>1212.5</v>
      </c>
      <c r="AH68" s="72">
        <f>AH62-AH63-AH66-AH67-AH65-AH64</f>
        <v>2915.7999999999997</v>
      </c>
      <c r="AJ68" s="21"/>
    </row>
    <row r="69" spans="1:36" s="18" customFormat="1" ht="31.5">
      <c r="A69" s="96" t="s">
        <v>45</v>
      </c>
      <c r="B69" s="97">
        <f>2445.1-1385-199</f>
        <v>861.0999999999999</v>
      </c>
      <c r="C69" s="97">
        <f>790.7-8</f>
        <v>782.7</v>
      </c>
      <c r="D69" s="72"/>
      <c r="E69" s="72"/>
      <c r="F69" s="72">
        <v>852.4</v>
      </c>
      <c r="G69" s="72"/>
      <c r="H69" s="72"/>
      <c r="I69" s="72"/>
      <c r="J69" s="72"/>
      <c r="K69" s="72"/>
      <c r="L69" s="72"/>
      <c r="M69" s="72"/>
      <c r="N69" s="72"/>
      <c r="O69" s="72"/>
      <c r="P69" s="72">
        <v>789.7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>
        <f t="shared" si="13"/>
        <v>1642.1</v>
      </c>
      <c r="AH69" s="89">
        <f aca="true" t="shared" si="16" ref="AH69:AH92">B69+C69-AG69</f>
        <v>1.7000000000000455</v>
      </c>
      <c r="AJ69" s="21"/>
    </row>
    <row r="70" spans="1:36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>
        <f t="shared" si="13"/>
        <v>0</v>
      </c>
      <c r="AH70" s="89">
        <f t="shared" si="16"/>
        <v>0</v>
      </c>
      <c r="AJ70" s="21"/>
    </row>
    <row r="71" spans="1:51" s="18" customFormat="1" ht="31.5">
      <c r="A71" s="96" t="s">
        <v>46</v>
      </c>
      <c r="B71" s="97">
        <f>49.6+1523-1900</f>
        <v>-327.4000000000001</v>
      </c>
      <c r="C71" s="109">
        <f>2501.3-871.7</f>
        <v>1629.6000000000001</v>
      </c>
      <c r="D71" s="80"/>
      <c r="E71" s="80"/>
      <c r="F71" s="80">
        <v>36</v>
      </c>
      <c r="G71" s="80"/>
      <c r="H71" s="80"/>
      <c r="I71" s="80">
        <v>430.7</v>
      </c>
      <c r="J71" s="80"/>
      <c r="K71" s="80"/>
      <c r="L71" s="80"/>
      <c r="M71" s="80"/>
      <c r="N71" s="80"/>
      <c r="O71" s="80">
        <v>542</v>
      </c>
      <c r="P71" s="80"/>
      <c r="Q71" s="80"/>
      <c r="R71" s="80"/>
      <c r="S71" s="80"/>
      <c r="T71" s="80"/>
      <c r="U71" s="80">
        <v>60.6</v>
      </c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72">
        <f t="shared" si="13"/>
        <v>1069.3</v>
      </c>
      <c r="AH71" s="89">
        <f t="shared" si="16"/>
        <v>232.9000000000001</v>
      </c>
      <c r="AI71" s="110"/>
      <c r="AJ71" s="21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</row>
    <row r="72" spans="1:36" s="18" customFormat="1" ht="15" customHeight="1">
      <c r="A72" s="96" t="s">
        <v>47</v>
      </c>
      <c r="B72" s="105">
        <f>401.1+127+427.8+80.5+473.5+109+0.2-438-90</f>
        <v>1091.1000000000001</v>
      </c>
      <c r="C72" s="97">
        <f>2095.5-100</f>
        <v>1995.5</v>
      </c>
      <c r="D72" s="72"/>
      <c r="E72" s="72"/>
      <c r="F72" s="72">
        <f>991.4-9.5-852.6</f>
        <v>129.29999999999995</v>
      </c>
      <c r="G72" s="72">
        <v>19.7</v>
      </c>
      <c r="H72" s="72">
        <v>21.9</v>
      </c>
      <c r="I72" s="72">
        <v>11</v>
      </c>
      <c r="J72" s="72">
        <v>0.3</v>
      </c>
      <c r="K72" s="72">
        <v>40.1</v>
      </c>
      <c r="L72" s="72">
        <v>0.3</v>
      </c>
      <c r="M72" s="72">
        <v>44.6</v>
      </c>
      <c r="N72" s="72"/>
      <c r="O72" s="72">
        <v>11.6</v>
      </c>
      <c r="P72" s="72"/>
      <c r="Q72" s="72"/>
      <c r="R72" s="72">
        <v>4.6</v>
      </c>
      <c r="S72" s="72"/>
      <c r="T72" s="72">
        <v>5.4</v>
      </c>
      <c r="U72" s="72">
        <v>490.9</v>
      </c>
      <c r="V72" s="72">
        <v>17.2</v>
      </c>
      <c r="W72" s="72">
        <f>7.7+80.5</f>
        <v>88.2</v>
      </c>
      <c r="X72" s="72"/>
      <c r="Y72" s="72"/>
      <c r="Z72" s="72"/>
      <c r="AA72" s="72"/>
      <c r="AB72" s="72"/>
      <c r="AC72" s="72"/>
      <c r="AD72" s="72"/>
      <c r="AE72" s="72"/>
      <c r="AF72" s="72"/>
      <c r="AG72" s="72">
        <f t="shared" si="13"/>
        <v>885.1000000000001</v>
      </c>
      <c r="AH72" s="89">
        <f t="shared" si="16"/>
        <v>2201.5</v>
      </c>
      <c r="AJ72" s="21"/>
    </row>
    <row r="73" spans="1:36" s="18" customFormat="1" ht="15" customHeight="1">
      <c r="A73" s="98" t="s">
        <v>5</v>
      </c>
      <c r="B73" s="97">
        <v>80.5</v>
      </c>
      <c r="C73" s="97">
        <v>0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>
        <v>80.5</v>
      </c>
      <c r="X73" s="72"/>
      <c r="Y73" s="72"/>
      <c r="Z73" s="72"/>
      <c r="AA73" s="72"/>
      <c r="AB73" s="72"/>
      <c r="AC73" s="72"/>
      <c r="AD73" s="72"/>
      <c r="AE73" s="72"/>
      <c r="AF73" s="72"/>
      <c r="AG73" s="72">
        <f t="shared" si="13"/>
        <v>80.5</v>
      </c>
      <c r="AH73" s="89">
        <f t="shared" si="16"/>
        <v>0</v>
      </c>
      <c r="AJ73" s="21"/>
    </row>
    <row r="74" spans="1:36" s="18" customFormat="1" ht="15" customHeight="1">
      <c r="A74" s="98" t="s">
        <v>2</v>
      </c>
      <c r="B74" s="97">
        <f>107+31</f>
        <v>138</v>
      </c>
      <c r="C74" s="97">
        <f>467.8</f>
        <v>467.8</v>
      </c>
      <c r="D74" s="72"/>
      <c r="E74" s="72"/>
      <c r="F74" s="72">
        <f>33.9+18.5</f>
        <v>52.4</v>
      </c>
      <c r="G74" s="72"/>
      <c r="H74" s="72"/>
      <c r="I74" s="72">
        <v>1</v>
      </c>
      <c r="J74" s="72"/>
      <c r="K74" s="72">
        <f>2.3+14.5</f>
        <v>16.8</v>
      </c>
      <c r="L74" s="72"/>
      <c r="M74" s="72"/>
      <c r="N74" s="72"/>
      <c r="O74" s="72">
        <v>1.1</v>
      </c>
      <c r="P74" s="72"/>
      <c r="Q74" s="72"/>
      <c r="R74" s="72"/>
      <c r="S74" s="72"/>
      <c r="T74" s="72">
        <v>4.5</v>
      </c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>
        <f t="shared" si="13"/>
        <v>75.8</v>
      </c>
      <c r="AH74" s="89">
        <f t="shared" si="16"/>
        <v>530</v>
      </c>
      <c r="AJ74" s="21"/>
    </row>
    <row r="75" spans="1:36" s="18" customFormat="1" ht="15" customHeight="1">
      <c r="A75" s="98" t="s">
        <v>16</v>
      </c>
      <c r="B75" s="97">
        <f>15+11.6</f>
        <v>26.6</v>
      </c>
      <c r="C75" s="97">
        <f>39.5-8</f>
        <v>31.5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>
        <v>7.7</v>
      </c>
      <c r="X75" s="72"/>
      <c r="Y75" s="72"/>
      <c r="Z75" s="72"/>
      <c r="AA75" s="72"/>
      <c r="AB75" s="72"/>
      <c r="AC75" s="72"/>
      <c r="AD75" s="72"/>
      <c r="AE75" s="72"/>
      <c r="AF75" s="72"/>
      <c r="AG75" s="72">
        <f t="shared" si="13"/>
        <v>7.7</v>
      </c>
      <c r="AH75" s="89">
        <f t="shared" si="16"/>
        <v>50.4</v>
      </c>
      <c r="AJ75" s="21"/>
    </row>
    <row r="76" spans="1:36" s="112" customFormat="1" ht="15.75">
      <c r="A76" s="111" t="s">
        <v>48</v>
      </c>
      <c r="B76" s="97">
        <v>189.9</v>
      </c>
      <c r="C76" s="97">
        <v>32.79999999999998</v>
      </c>
      <c r="D76" s="72"/>
      <c r="E76" s="80"/>
      <c r="F76" s="80"/>
      <c r="G76" s="80"/>
      <c r="H76" s="80"/>
      <c r="I76" s="80">
        <v>18.6</v>
      </c>
      <c r="J76" s="80"/>
      <c r="K76" s="80"/>
      <c r="L76" s="80"/>
      <c r="M76" s="80"/>
      <c r="N76" s="80">
        <v>51.1</v>
      </c>
      <c r="O76" s="80"/>
      <c r="P76" s="80">
        <v>12</v>
      </c>
      <c r="Q76" s="80"/>
      <c r="R76" s="80">
        <v>15.7</v>
      </c>
      <c r="S76" s="80"/>
      <c r="T76" s="80"/>
      <c r="U76" s="80"/>
      <c r="V76" s="80"/>
      <c r="W76" s="80">
        <v>91.6</v>
      </c>
      <c r="X76" s="80"/>
      <c r="Y76" s="80"/>
      <c r="Z76" s="80"/>
      <c r="AA76" s="80"/>
      <c r="AB76" s="80"/>
      <c r="AC76" s="80"/>
      <c r="AD76" s="80"/>
      <c r="AE76" s="80"/>
      <c r="AF76" s="80"/>
      <c r="AG76" s="72">
        <f t="shared" si="13"/>
        <v>189</v>
      </c>
      <c r="AH76" s="89">
        <f t="shared" si="16"/>
        <v>33.69999999999999</v>
      </c>
      <c r="AJ76" s="21"/>
    </row>
    <row r="77" spans="1:36" s="112" customFormat="1" ht="15.75">
      <c r="A77" s="98" t="s">
        <v>5</v>
      </c>
      <c r="B77" s="97">
        <f>135.6+0.1</f>
        <v>135.7</v>
      </c>
      <c r="C77" s="97">
        <v>6.5</v>
      </c>
      <c r="D77" s="72"/>
      <c r="E77" s="80"/>
      <c r="F77" s="80"/>
      <c r="G77" s="80"/>
      <c r="H77" s="80"/>
      <c r="I77" s="80">
        <v>16.1</v>
      </c>
      <c r="J77" s="80"/>
      <c r="K77" s="80"/>
      <c r="L77" s="80"/>
      <c r="M77" s="80"/>
      <c r="N77" s="80">
        <v>47.6</v>
      </c>
      <c r="O77" s="80"/>
      <c r="P77" s="80"/>
      <c r="Q77" s="80"/>
      <c r="R77" s="80"/>
      <c r="S77" s="80"/>
      <c r="T77" s="80"/>
      <c r="U77" s="80"/>
      <c r="V77" s="80"/>
      <c r="W77" s="80">
        <v>70.6</v>
      </c>
      <c r="X77" s="80"/>
      <c r="Y77" s="80"/>
      <c r="Z77" s="80"/>
      <c r="AA77" s="80"/>
      <c r="AB77" s="80"/>
      <c r="AC77" s="80"/>
      <c r="AD77" s="80"/>
      <c r="AE77" s="80"/>
      <c r="AF77" s="80"/>
      <c r="AG77" s="72">
        <f t="shared" si="13"/>
        <v>134.3</v>
      </c>
      <c r="AH77" s="89">
        <f t="shared" si="16"/>
        <v>7.899999999999977</v>
      </c>
      <c r="AJ77" s="21"/>
    </row>
    <row r="78" spans="1:36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72">
        <f t="shared" si="13"/>
        <v>0</v>
      </c>
      <c r="AH78" s="89">
        <f t="shared" si="16"/>
        <v>0</v>
      </c>
      <c r="AJ78" s="21"/>
    </row>
    <row r="79" spans="1:36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72">
        <f t="shared" si="13"/>
        <v>0</v>
      </c>
      <c r="AH79" s="89">
        <f t="shared" si="16"/>
        <v>0</v>
      </c>
      <c r="AJ79" s="21"/>
    </row>
    <row r="80" spans="1:36" s="112" customFormat="1" ht="15.75">
      <c r="A80" s="98" t="s">
        <v>2</v>
      </c>
      <c r="B80" s="97">
        <v>0.6</v>
      </c>
      <c r="C80" s="97">
        <v>4.500000000000002</v>
      </c>
      <c r="D80" s="72"/>
      <c r="E80" s="80"/>
      <c r="F80" s="80"/>
      <c r="G80" s="80"/>
      <c r="H80" s="80"/>
      <c r="I80" s="80">
        <v>2.5</v>
      </c>
      <c r="J80" s="80"/>
      <c r="K80" s="80"/>
      <c r="L80" s="80"/>
      <c r="M80" s="80"/>
      <c r="N80" s="80">
        <f>0.1+0.1</f>
        <v>0.2</v>
      </c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72">
        <f t="shared" si="13"/>
        <v>2.7</v>
      </c>
      <c r="AH80" s="89">
        <f t="shared" si="16"/>
        <v>2.4000000000000012</v>
      </c>
      <c r="AJ80" s="21"/>
    </row>
    <row r="81" spans="1:36" s="112" customFormat="1" ht="15.75">
      <c r="A81" s="111" t="s">
        <v>49</v>
      </c>
      <c r="B81" s="97">
        <v>0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72">
        <f t="shared" si="13"/>
        <v>0</v>
      </c>
      <c r="AH81" s="89">
        <f t="shared" si="16"/>
        <v>0</v>
      </c>
      <c r="AJ81" s="21"/>
    </row>
    <row r="82" spans="1:36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72">
        <f t="shared" si="13"/>
        <v>0</v>
      </c>
      <c r="AH82" s="89">
        <f t="shared" si="16"/>
        <v>0</v>
      </c>
      <c r="AJ82" s="21"/>
    </row>
    <row r="83" spans="1:36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72">
        <f t="shared" si="13"/>
        <v>0</v>
      </c>
      <c r="AH83" s="72">
        <f t="shared" si="16"/>
        <v>0</v>
      </c>
      <c r="AJ83" s="21"/>
    </row>
    <row r="84" spans="1:36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72">
        <f t="shared" si="13"/>
        <v>0</v>
      </c>
      <c r="AH84" s="72">
        <f t="shared" si="16"/>
        <v>0</v>
      </c>
      <c r="AJ84" s="21"/>
    </row>
    <row r="85" spans="1:36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72">
        <f t="shared" si="13"/>
        <v>0</v>
      </c>
      <c r="AH85" s="72">
        <f t="shared" si="16"/>
        <v>0</v>
      </c>
      <c r="AJ85" s="21"/>
    </row>
    <row r="86" spans="1:36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72">
        <f t="shared" si="13"/>
        <v>0</v>
      </c>
      <c r="AH86" s="72">
        <f t="shared" si="16"/>
        <v>0</v>
      </c>
      <c r="AJ86" s="21"/>
    </row>
    <row r="87" spans="1:36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72">
        <f t="shared" si="13"/>
        <v>0</v>
      </c>
      <c r="AH87" s="72">
        <f t="shared" si="16"/>
        <v>0</v>
      </c>
      <c r="AJ87" s="21"/>
    </row>
    <row r="88" spans="1:36" s="18" customFormat="1" ht="15.75">
      <c r="A88" s="96" t="s">
        <v>58</v>
      </c>
      <c r="B88" s="97">
        <v>0</v>
      </c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>
        <f t="shared" si="13"/>
        <v>0</v>
      </c>
      <c r="AH88" s="72">
        <f t="shared" si="16"/>
        <v>0</v>
      </c>
      <c r="AI88" s="112"/>
      <c r="AJ88" s="21"/>
    </row>
    <row r="89" spans="1:36" s="18" customFormat="1" ht="15.75">
      <c r="A89" s="96" t="s">
        <v>50</v>
      </c>
      <c r="B89" s="97">
        <f>16754.8-115.5+900+3000+4585+6000+2400</f>
        <v>33524.3</v>
      </c>
      <c r="C89" s="97">
        <v>4746.9</v>
      </c>
      <c r="D89" s="72"/>
      <c r="E89" s="72"/>
      <c r="F89" s="72">
        <v>7410.2</v>
      </c>
      <c r="G89" s="72">
        <v>1284.9</v>
      </c>
      <c r="H89" s="72"/>
      <c r="I89" s="72">
        <v>26.5</v>
      </c>
      <c r="J89" s="72">
        <v>5739.9</v>
      </c>
      <c r="K89" s="72"/>
      <c r="L89" s="72">
        <v>1034.3</v>
      </c>
      <c r="M89" s="72"/>
      <c r="N89" s="72"/>
      <c r="O89" s="72">
        <v>3540.7</v>
      </c>
      <c r="P89" s="72"/>
      <c r="Q89" s="72">
        <v>767.6</v>
      </c>
      <c r="R89" s="72">
        <v>4774.7</v>
      </c>
      <c r="S89" s="72"/>
      <c r="T89" s="72">
        <v>10767.4</v>
      </c>
      <c r="U89" s="72"/>
      <c r="V89" s="72">
        <v>32.2</v>
      </c>
      <c r="W89" s="72">
        <v>629.6</v>
      </c>
      <c r="X89" s="72"/>
      <c r="Y89" s="72">
        <v>927.9</v>
      </c>
      <c r="Z89" s="72"/>
      <c r="AA89" s="72"/>
      <c r="AB89" s="72"/>
      <c r="AC89" s="72"/>
      <c r="AD89" s="72"/>
      <c r="AE89" s="72"/>
      <c r="AF89" s="72"/>
      <c r="AG89" s="72">
        <f t="shared" si="13"/>
        <v>36935.899999999994</v>
      </c>
      <c r="AH89" s="72">
        <f t="shared" si="16"/>
        <v>1335.3000000000102</v>
      </c>
      <c r="AI89" s="112"/>
      <c r="AJ89" s="21"/>
    </row>
    <row r="90" spans="1:36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/>
      <c r="I90" s="72"/>
      <c r="J90" s="72">
        <v>1886.8</v>
      </c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/>
      <c r="W90" s="72"/>
      <c r="X90" s="72"/>
      <c r="Y90" s="72"/>
      <c r="Z90" s="72">
        <v>1886.8</v>
      </c>
      <c r="AA90" s="72"/>
      <c r="AB90" s="72"/>
      <c r="AC90" s="72"/>
      <c r="AD90" s="72"/>
      <c r="AE90" s="72"/>
      <c r="AF90" s="72"/>
      <c r="AG90" s="72">
        <f t="shared" si="13"/>
        <v>5660.4</v>
      </c>
      <c r="AH90" s="72">
        <f t="shared" si="16"/>
        <v>0</v>
      </c>
      <c r="AI90" s="112"/>
      <c r="AJ90" s="21"/>
    </row>
    <row r="91" spans="1:36" s="18" customFormat="1" ht="15.75">
      <c r="A91" s="96" t="s">
        <v>25</v>
      </c>
      <c r="B91" s="97">
        <v>-35</v>
      </c>
      <c r="C91" s="97">
        <v>100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>
        <f t="shared" si="13"/>
        <v>0</v>
      </c>
      <c r="AH91" s="72">
        <f t="shared" si="16"/>
        <v>65</v>
      </c>
      <c r="AI91" s="112"/>
      <c r="AJ91" s="21"/>
    </row>
    <row r="92" spans="1:35" s="18" customFormat="1" ht="15.75">
      <c r="A92" s="96" t="s">
        <v>37</v>
      </c>
      <c r="B92" s="97">
        <v>13414</v>
      </c>
      <c r="C92" s="97">
        <v>0.014829999996436527</v>
      </c>
      <c r="D92" s="72"/>
      <c r="E92" s="72">
        <v>10069.6</v>
      </c>
      <c r="F92" s="72"/>
      <c r="G92" s="72"/>
      <c r="H92" s="72"/>
      <c r="I92" s="72">
        <v>3344.4</v>
      </c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>
        <f t="shared" si="13"/>
        <v>13414</v>
      </c>
      <c r="AH92" s="72">
        <f t="shared" si="16"/>
        <v>0.014829999996436527</v>
      </c>
      <c r="AI92" s="115"/>
    </row>
    <row r="93" spans="1:34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</row>
    <row r="94" spans="1:34" s="134" customFormat="1" ht="15.75">
      <c r="A94" s="135" t="s">
        <v>27</v>
      </c>
      <c r="B94" s="136">
        <f aca="true" t="shared" si="17" ref="B94:Z94">B10+B15+B24+B33+B47+B52+B54+B61+B62+B69+B71+B72+B76+B81+B82+B83+B88+B89+B90+B91+B40+B92+B70</f>
        <v>229019.09999999995</v>
      </c>
      <c r="C94" s="136">
        <f t="shared" si="17"/>
        <v>73688.91483000001</v>
      </c>
      <c r="D94" s="91">
        <f t="shared" si="17"/>
        <v>0</v>
      </c>
      <c r="E94" s="91">
        <f t="shared" si="17"/>
        <v>10633.300000000001</v>
      </c>
      <c r="F94" s="91">
        <f t="shared" si="17"/>
        <v>10038.3</v>
      </c>
      <c r="G94" s="91">
        <f t="shared" si="17"/>
        <v>3756.7</v>
      </c>
      <c r="H94" s="91">
        <f>H10+H15+H24+H33+H47+H52+H54+H61+H62+H69+H71+H72+H76+H81+H82+H83+H88+H89+H90+H91+H40+H92+H70</f>
        <v>3510.4</v>
      </c>
      <c r="I94" s="91">
        <f t="shared" si="17"/>
        <v>5282.1</v>
      </c>
      <c r="J94" s="91">
        <f t="shared" si="17"/>
        <v>13578</v>
      </c>
      <c r="K94" s="91">
        <f t="shared" si="17"/>
        <v>35166.799999999996</v>
      </c>
      <c r="L94" s="91">
        <f t="shared" si="17"/>
        <v>8076.5</v>
      </c>
      <c r="M94" s="91">
        <f t="shared" si="17"/>
        <v>3214</v>
      </c>
      <c r="N94" s="91">
        <f t="shared" si="17"/>
        <v>807.1</v>
      </c>
      <c r="O94" s="91">
        <f t="shared" si="17"/>
        <v>4867.8</v>
      </c>
      <c r="P94" s="91">
        <f t="shared" si="17"/>
        <v>7927.5</v>
      </c>
      <c r="Q94" s="91">
        <f t="shared" si="17"/>
        <v>3407.9</v>
      </c>
      <c r="R94" s="91">
        <f t="shared" si="17"/>
        <v>5663.7</v>
      </c>
      <c r="S94" s="91">
        <f t="shared" si="17"/>
        <v>1038.8</v>
      </c>
      <c r="T94" s="91">
        <f t="shared" si="17"/>
        <v>12953</v>
      </c>
      <c r="U94" s="91">
        <f t="shared" si="17"/>
        <v>3811.3999999999996</v>
      </c>
      <c r="V94" s="91">
        <f t="shared" si="17"/>
        <v>20865.4</v>
      </c>
      <c r="W94" s="91">
        <f t="shared" si="17"/>
        <v>60125.69999999999</v>
      </c>
      <c r="X94" s="91">
        <f t="shared" si="17"/>
        <v>5106.599999999999</v>
      </c>
      <c r="Y94" s="91">
        <f t="shared" si="17"/>
        <v>1040.7</v>
      </c>
      <c r="Z94" s="91">
        <f t="shared" si="17"/>
        <v>1893.8</v>
      </c>
      <c r="AA94" s="91">
        <f>AA10+AA15+AA24+AA33+AA47+AA52+AA54+AA61+AA62+AA69+AA71+AA72+AA76+AA81+AA82+AA83+AA88+AA89+AA90+AA91+AA40</f>
        <v>0</v>
      </c>
      <c r="AB94" s="91">
        <f>AB10+AB15+AB24+AB33+AB47+AB52+AB54+AB61+AB62+AB69+AB71+AB72+AB76+AB81+AB82+AB83+AB88+AB89+AB90+AB91+AB40</f>
        <v>0</v>
      </c>
      <c r="AC94" s="91">
        <f>AC10+AC15+AC24+AC33+AC47+AC52+AC54+AC61+AC62+AC69+AC71+AC72+AC76+AC81+AC82+AC83+AC88+AC89+AC90+AC91+AC40</f>
        <v>0</v>
      </c>
      <c r="AD94" s="91">
        <f>AD10+AD15+AD24+AD33+AD47+AD52+AD54+AD61+AD62+AD69+AD71+AD72+AD76+AD81+AD82+AD83+AD88+AD89+AD90+AD91+AD40</f>
        <v>0</v>
      </c>
      <c r="AE94" s="91">
        <f>AE10+AE15+AE24+AE33+AE47+AE52+AE54+AE61+AE62+AE69+AE71+AE72+AE76+AE81+AE82+AE83+AE88+AE89+AE90+AE91+AE40</f>
        <v>0</v>
      </c>
      <c r="AF94" s="91"/>
      <c r="AG94" s="91">
        <f>AG10+AG15+AG24+AG33+AG47+AG52+AG54+AG61+AG62+AG69+AG71+AG72+AG76+AG81+AG82+AG83+AG88+AG89+AG90+AG91+AG70+AG40+AG92</f>
        <v>222765.49999999997</v>
      </c>
      <c r="AH94" s="91">
        <f>AH10+AH15+AH24+AH33+AH47+AH52+AH54+AH61+AH62+AH69+AH71+AH72+AH76+AH81+AH82+AH83+AH88+AH89+AH90+AH91+AH70+AH40+AH92</f>
        <v>79942.51483</v>
      </c>
    </row>
    <row r="95" spans="1:34" s="18" customFormat="1" ht="15.75">
      <c r="A95" s="98" t="s">
        <v>5</v>
      </c>
      <c r="B95" s="97">
        <f aca="true" t="shared" si="18" ref="B95:AE95">B11+B17+B26+B34+B55+B63+B73+B41+B77+B48</f>
        <v>117119.39999999998</v>
      </c>
      <c r="C95" s="97">
        <f t="shared" si="18"/>
        <v>11505.86</v>
      </c>
      <c r="D95" s="72">
        <f t="shared" si="18"/>
        <v>0</v>
      </c>
      <c r="E95" s="72">
        <f t="shared" si="18"/>
        <v>497.7</v>
      </c>
      <c r="F95" s="72">
        <f t="shared" si="18"/>
        <v>70.3</v>
      </c>
      <c r="G95" s="72">
        <f t="shared" si="18"/>
        <v>10.4</v>
      </c>
      <c r="H95" s="72">
        <f>H11+H17+H26+H34+H55+H63+H73+H41+H77+H48</f>
        <v>66.5</v>
      </c>
      <c r="I95" s="72">
        <f t="shared" si="18"/>
        <v>431.30000000000007</v>
      </c>
      <c r="J95" s="72">
        <f t="shared" si="18"/>
        <v>739.5</v>
      </c>
      <c r="K95" s="72">
        <f t="shared" si="18"/>
        <v>24522.9</v>
      </c>
      <c r="L95" s="72">
        <f t="shared" si="18"/>
        <v>2824.2000000000003</v>
      </c>
      <c r="M95" s="72">
        <f t="shared" si="18"/>
        <v>2098.9</v>
      </c>
      <c r="N95" s="72">
        <f t="shared" si="18"/>
        <v>47.6</v>
      </c>
      <c r="O95" s="72">
        <f t="shared" si="18"/>
        <v>101.7</v>
      </c>
      <c r="P95" s="72">
        <f t="shared" si="18"/>
        <v>0.4</v>
      </c>
      <c r="Q95" s="72">
        <f t="shared" si="18"/>
        <v>516</v>
      </c>
      <c r="R95" s="72">
        <f t="shared" si="18"/>
        <v>0</v>
      </c>
      <c r="S95" s="72">
        <f t="shared" si="18"/>
        <v>10.8</v>
      </c>
      <c r="T95" s="72">
        <f t="shared" si="18"/>
        <v>0</v>
      </c>
      <c r="U95" s="72">
        <f t="shared" si="18"/>
        <v>0</v>
      </c>
      <c r="V95" s="72">
        <f t="shared" si="18"/>
        <v>2909.8</v>
      </c>
      <c r="W95" s="72">
        <f>W11+W17+W26+W34+W55+W63+W73+W41+W77+W48</f>
        <v>57240.19999999999</v>
      </c>
      <c r="X95" s="72">
        <f t="shared" si="18"/>
        <v>4959.9</v>
      </c>
      <c r="Y95" s="72">
        <f t="shared" si="18"/>
        <v>0</v>
      </c>
      <c r="Z95" s="72">
        <f t="shared" si="18"/>
        <v>0</v>
      </c>
      <c r="AA95" s="72">
        <f t="shared" si="18"/>
        <v>0</v>
      </c>
      <c r="AB95" s="72">
        <f t="shared" si="18"/>
        <v>0</v>
      </c>
      <c r="AC95" s="72">
        <f t="shared" si="18"/>
        <v>0</v>
      </c>
      <c r="AD95" s="72">
        <f t="shared" si="18"/>
        <v>0</v>
      </c>
      <c r="AE95" s="72">
        <f t="shared" si="18"/>
        <v>0</v>
      </c>
      <c r="AF95" s="72"/>
      <c r="AG95" s="72">
        <f>SUM(D95:AE95)</f>
        <v>97048.09999999999</v>
      </c>
      <c r="AH95" s="72">
        <f>B95+C95-AG95</f>
        <v>31577.15999999999</v>
      </c>
    </row>
    <row r="96" spans="1:34" s="18" customFormat="1" ht="15.75">
      <c r="A96" s="98" t="s">
        <v>2</v>
      </c>
      <c r="B96" s="97">
        <f aca="true" t="shared" si="19" ref="B96:AE96">B12+B20+B29+B36+B57+B66+B44+B80+B74+B53</f>
        <v>-3013.2000000000003</v>
      </c>
      <c r="C96" s="97">
        <f t="shared" si="19"/>
        <v>19397.6</v>
      </c>
      <c r="D96" s="72">
        <f t="shared" si="19"/>
        <v>0</v>
      </c>
      <c r="E96" s="72">
        <f t="shared" si="19"/>
        <v>0</v>
      </c>
      <c r="F96" s="72">
        <f t="shared" si="19"/>
        <v>1086.1000000000001</v>
      </c>
      <c r="G96" s="72">
        <f t="shared" si="19"/>
        <v>641.1</v>
      </c>
      <c r="H96" s="72">
        <f>H12+H20+H29+H36+H57+H66+H44+H80+H74+H53</f>
        <v>199</v>
      </c>
      <c r="I96" s="72">
        <f t="shared" si="19"/>
        <v>126</v>
      </c>
      <c r="J96" s="72">
        <f t="shared" si="19"/>
        <v>944.5</v>
      </c>
      <c r="K96" s="72">
        <f t="shared" si="19"/>
        <v>888.8</v>
      </c>
      <c r="L96" s="72">
        <f t="shared" si="19"/>
        <v>891.8</v>
      </c>
      <c r="M96" s="72">
        <f t="shared" si="19"/>
        <v>6.2</v>
      </c>
      <c r="N96" s="72">
        <f t="shared" si="19"/>
        <v>274.2</v>
      </c>
      <c r="O96" s="72">
        <f t="shared" si="19"/>
        <v>74.19999999999999</v>
      </c>
      <c r="P96" s="72">
        <f t="shared" si="19"/>
        <v>345.9</v>
      </c>
      <c r="Q96" s="72">
        <f t="shared" si="19"/>
        <v>0</v>
      </c>
      <c r="R96" s="72">
        <f t="shared" si="19"/>
        <v>93.7</v>
      </c>
      <c r="S96" s="72">
        <f t="shared" si="19"/>
        <v>72.5</v>
      </c>
      <c r="T96" s="72">
        <f t="shared" si="19"/>
        <v>482.8</v>
      </c>
      <c r="U96" s="72">
        <f t="shared" si="19"/>
        <v>233.2</v>
      </c>
      <c r="V96" s="72">
        <f t="shared" si="19"/>
        <v>123.3</v>
      </c>
      <c r="W96" s="72">
        <f t="shared" si="19"/>
        <v>498.30000000000007</v>
      </c>
      <c r="X96" s="72">
        <f t="shared" si="19"/>
        <v>17.900000000000002</v>
      </c>
      <c r="Y96" s="72">
        <f t="shared" si="19"/>
        <v>0</v>
      </c>
      <c r="Z96" s="72">
        <f t="shared" si="19"/>
        <v>0</v>
      </c>
      <c r="AA96" s="72">
        <f t="shared" si="19"/>
        <v>0</v>
      </c>
      <c r="AB96" s="72">
        <f t="shared" si="19"/>
        <v>0</v>
      </c>
      <c r="AC96" s="72">
        <f t="shared" si="19"/>
        <v>0</v>
      </c>
      <c r="AD96" s="72">
        <f t="shared" si="19"/>
        <v>0</v>
      </c>
      <c r="AE96" s="72">
        <f t="shared" si="19"/>
        <v>0</v>
      </c>
      <c r="AF96" s="72"/>
      <c r="AG96" s="72">
        <f>SUM(D96:AE96)</f>
        <v>6999.499999999999</v>
      </c>
      <c r="AH96" s="72">
        <f>B96+C96-AG96</f>
        <v>9384.899999999998</v>
      </c>
    </row>
    <row r="97" spans="1:34" s="18" customFormat="1" ht="15.75">
      <c r="A97" s="98" t="s">
        <v>3</v>
      </c>
      <c r="B97" s="97">
        <f aca="true" t="shared" si="20" ref="B97:AB97">B18+B27+B42+B64+B78</f>
        <v>0</v>
      </c>
      <c r="C97" s="97">
        <f t="shared" si="20"/>
        <v>16</v>
      </c>
      <c r="D97" s="72">
        <f t="shared" si="20"/>
        <v>0</v>
      </c>
      <c r="E97" s="72">
        <f t="shared" si="20"/>
        <v>0</v>
      </c>
      <c r="F97" s="72">
        <f t="shared" si="20"/>
        <v>0</v>
      </c>
      <c r="G97" s="72">
        <f t="shared" si="20"/>
        <v>0</v>
      </c>
      <c r="H97" s="72">
        <f>H18+H27+H42+H64+H78</f>
        <v>0</v>
      </c>
      <c r="I97" s="72">
        <f t="shared" si="20"/>
        <v>0</v>
      </c>
      <c r="J97" s="72">
        <f t="shared" si="20"/>
        <v>0</v>
      </c>
      <c r="K97" s="72">
        <f t="shared" si="20"/>
        <v>0</v>
      </c>
      <c r="L97" s="72">
        <f t="shared" si="20"/>
        <v>0</v>
      </c>
      <c r="M97" s="72">
        <f t="shared" si="20"/>
        <v>0</v>
      </c>
      <c r="N97" s="72">
        <f t="shared" si="20"/>
        <v>0</v>
      </c>
      <c r="O97" s="72">
        <f t="shared" si="20"/>
        <v>0</v>
      </c>
      <c r="P97" s="72">
        <f t="shared" si="20"/>
        <v>0</v>
      </c>
      <c r="Q97" s="72">
        <f t="shared" si="20"/>
        <v>0</v>
      </c>
      <c r="R97" s="72">
        <f t="shared" si="20"/>
        <v>0</v>
      </c>
      <c r="S97" s="72">
        <f t="shared" si="20"/>
        <v>0</v>
      </c>
      <c r="T97" s="72">
        <f t="shared" si="20"/>
        <v>0</v>
      </c>
      <c r="U97" s="72">
        <f t="shared" si="20"/>
        <v>0.4</v>
      </c>
      <c r="V97" s="72">
        <f t="shared" si="20"/>
        <v>0</v>
      </c>
      <c r="W97" s="72">
        <f t="shared" si="20"/>
        <v>0</v>
      </c>
      <c r="X97" s="72">
        <f t="shared" si="20"/>
        <v>0</v>
      </c>
      <c r="Y97" s="72">
        <f t="shared" si="20"/>
        <v>0</v>
      </c>
      <c r="Z97" s="72">
        <f t="shared" si="20"/>
        <v>0</v>
      </c>
      <c r="AA97" s="72">
        <f t="shared" si="20"/>
        <v>0</v>
      </c>
      <c r="AB97" s="72">
        <f t="shared" si="20"/>
        <v>0</v>
      </c>
      <c r="AC97" s="72">
        <f>AC18+AC27+AC42+AC64</f>
        <v>0</v>
      </c>
      <c r="AD97" s="72">
        <f>AD18+AD27+AD42+AD64</f>
        <v>0</v>
      </c>
      <c r="AE97" s="72">
        <f>AE18+AE27+AE42+AE64</f>
        <v>0</v>
      </c>
      <c r="AF97" s="72"/>
      <c r="AG97" s="72">
        <f>SUM(D97:AE97)</f>
        <v>0.4</v>
      </c>
      <c r="AH97" s="72">
        <f>B97+C97-AG97</f>
        <v>15.6</v>
      </c>
    </row>
    <row r="98" spans="1:34" s="18" customFormat="1" ht="15.75">
      <c r="A98" s="98" t="s">
        <v>1</v>
      </c>
      <c r="B98" s="97">
        <f aca="true" t="shared" si="21" ref="B98:AE98">B19+B28+B65+B35+B43+B56+B79</f>
        <v>5952.000000000001</v>
      </c>
      <c r="C98" s="97">
        <f t="shared" si="21"/>
        <v>3120.9999999999986</v>
      </c>
      <c r="D98" s="72">
        <f t="shared" si="21"/>
        <v>0</v>
      </c>
      <c r="E98" s="72">
        <f t="shared" si="21"/>
        <v>0</v>
      </c>
      <c r="F98" s="72">
        <f t="shared" si="21"/>
        <v>0</v>
      </c>
      <c r="G98" s="72">
        <f t="shared" si="21"/>
        <v>708.8</v>
      </c>
      <c r="H98" s="72">
        <f>H19+H28+H65+H35+H43+H56+H79</f>
        <v>214.1</v>
      </c>
      <c r="I98" s="72">
        <f t="shared" si="21"/>
        <v>98</v>
      </c>
      <c r="J98" s="72">
        <f t="shared" si="21"/>
        <v>840.2</v>
      </c>
      <c r="K98" s="72">
        <f t="shared" si="21"/>
        <v>523.2</v>
      </c>
      <c r="L98" s="72">
        <f t="shared" si="21"/>
        <v>41.599999999999994</v>
      </c>
      <c r="M98" s="72">
        <f t="shared" si="21"/>
        <v>314.6</v>
      </c>
      <c r="N98" s="72">
        <f t="shared" si="21"/>
        <v>100.4</v>
      </c>
      <c r="O98" s="72">
        <f t="shared" si="21"/>
        <v>466.3</v>
      </c>
      <c r="P98" s="72">
        <f t="shared" si="21"/>
        <v>450.59999999999997</v>
      </c>
      <c r="Q98" s="72">
        <f t="shared" si="21"/>
        <v>0.2</v>
      </c>
      <c r="R98" s="72">
        <f t="shared" si="21"/>
        <v>78.1</v>
      </c>
      <c r="S98" s="72">
        <f t="shared" si="21"/>
        <v>348.79999999999995</v>
      </c>
      <c r="T98" s="72">
        <f t="shared" si="21"/>
        <v>113</v>
      </c>
      <c r="U98" s="72">
        <f t="shared" si="21"/>
        <v>951.6</v>
      </c>
      <c r="V98" s="72">
        <f t="shared" si="21"/>
        <v>5.1</v>
      </c>
      <c r="W98" s="72">
        <f t="shared" si="21"/>
        <v>156.9</v>
      </c>
      <c r="X98" s="72">
        <f t="shared" si="21"/>
        <v>1.7</v>
      </c>
      <c r="Y98" s="72">
        <f t="shared" si="21"/>
        <v>5.4</v>
      </c>
      <c r="Z98" s="72">
        <f t="shared" si="21"/>
        <v>0</v>
      </c>
      <c r="AA98" s="72">
        <f t="shared" si="21"/>
        <v>0</v>
      </c>
      <c r="AB98" s="72">
        <f t="shared" si="21"/>
        <v>0</v>
      </c>
      <c r="AC98" s="72">
        <f t="shared" si="21"/>
        <v>0</v>
      </c>
      <c r="AD98" s="72">
        <f t="shared" si="21"/>
        <v>0</v>
      </c>
      <c r="AE98" s="72">
        <f t="shared" si="21"/>
        <v>0</v>
      </c>
      <c r="AF98" s="72"/>
      <c r="AG98" s="72">
        <f>SUM(D98:AE98)</f>
        <v>5418.599999999999</v>
      </c>
      <c r="AH98" s="72">
        <f>B98+C98-AG98</f>
        <v>3654.4000000000005</v>
      </c>
    </row>
    <row r="99" spans="1:34" s="18" customFormat="1" ht="15.75">
      <c r="A99" s="98" t="s">
        <v>16</v>
      </c>
      <c r="B99" s="97">
        <f>B21+B30+B49+B37+B58+B13+B75+B67</f>
        <v>5661.800000000001</v>
      </c>
      <c r="C99" s="97">
        <f aca="true" t="shared" si="22" ref="C99:Y99">C21+C30+C49+C37+C58+C13+C75+C67</f>
        <v>3299.500000000001</v>
      </c>
      <c r="D99" s="72">
        <f t="shared" si="22"/>
        <v>0</v>
      </c>
      <c r="E99" s="72">
        <f t="shared" si="22"/>
        <v>0</v>
      </c>
      <c r="F99" s="72">
        <f t="shared" si="22"/>
        <v>0</v>
      </c>
      <c r="G99" s="72">
        <f t="shared" si="22"/>
        <v>235.8</v>
      </c>
      <c r="H99" s="72">
        <f>H21+H30+H49+H37+H58+H13+H75+H67</f>
        <v>1919</v>
      </c>
      <c r="I99" s="72">
        <f t="shared" si="22"/>
        <v>31.6</v>
      </c>
      <c r="J99" s="72">
        <f t="shared" si="22"/>
        <v>205.8</v>
      </c>
      <c r="K99" s="72">
        <f t="shared" si="22"/>
        <v>0</v>
      </c>
      <c r="L99" s="72">
        <f t="shared" si="22"/>
        <v>186</v>
      </c>
      <c r="M99" s="72">
        <f t="shared" si="22"/>
        <v>156.7</v>
      </c>
      <c r="N99" s="72">
        <f t="shared" si="22"/>
        <v>80.6</v>
      </c>
      <c r="O99" s="72">
        <f t="shared" si="22"/>
        <v>10</v>
      </c>
      <c r="P99" s="72">
        <f t="shared" si="22"/>
        <v>1790.4</v>
      </c>
      <c r="Q99" s="72">
        <f t="shared" si="22"/>
        <v>11.7</v>
      </c>
      <c r="R99" s="72">
        <f t="shared" si="22"/>
        <v>522.6</v>
      </c>
      <c r="S99" s="72">
        <f t="shared" si="22"/>
        <v>363.5</v>
      </c>
      <c r="T99" s="72">
        <f t="shared" si="22"/>
        <v>346</v>
      </c>
      <c r="U99" s="72">
        <f t="shared" si="22"/>
        <v>0</v>
      </c>
      <c r="V99" s="72">
        <f t="shared" si="22"/>
        <v>87.4</v>
      </c>
      <c r="W99" s="72">
        <f t="shared" si="22"/>
        <v>198.1</v>
      </c>
      <c r="X99" s="72">
        <f t="shared" si="22"/>
        <v>50.2</v>
      </c>
      <c r="Y99" s="72">
        <f t="shared" si="22"/>
        <v>2</v>
      </c>
      <c r="Z99" s="72">
        <f aca="true" t="shared" si="23" ref="Z99:AE99">Z21+Z30+Z49+Z37+Z58+Z13+Z75</f>
        <v>0</v>
      </c>
      <c r="AA99" s="72">
        <f t="shared" si="23"/>
        <v>0</v>
      </c>
      <c r="AB99" s="72">
        <f t="shared" si="23"/>
        <v>0</v>
      </c>
      <c r="AC99" s="72">
        <f t="shared" si="23"/>
        <v>0</v>
      </c>
      <c r="AD99" s="72">
        <f t="shared" si="23"/>
        <v>0</v>
      </c>
      <c r="AE99" s="72">
        <f t="shared" si="23"/>
        <v>0</v>
      </c>
      <c r="AF99" s="72"/>
      <c r="AG99" s="72">
        <f>SUM(D99:AE99)</f>
        <v>6197.4</v>
      </c>
      <c r="AH99" s="72">
        <f>B99+C99-AG99</f>
        <v>2763.9000000000033</v>
      </c>
    </row>
    <row r="100" spans="1:34" ht="12.75">
      <c r="A100" s="1" t="s">
        <v>35</v>
      </c>
      <c r="B100" s="2">
        <f>B94-B95-B96-B97-B98-B99</f>
        <v>103299.09999999996</v>
      </c>
      <c r="C100" s="2">
        <f aca="true" t="shared" si="24" ref="C100:AE100">C94-C95-C96-C97-C98-C99</f>
        <v>36348.95483000001</v>
      </c>
      <c r="D100" s="84">
        <f t="shared" si="24"/>
        <v>0</v>
      </c>
      <c r="E100" s="84">
        <f t="shared" si="24"/>
        <v>10135.6</v>
      </c>
      <c r="F100" s="84">
        <f t="shared" si="24"/>
        <v>8881.9</v>
      </c>
      <c r="G100" s="84">
        <f t="shared" si="24"/>
        <v>2160.5999999999995</v>
      </c>
      <c r="H100" s="84">
        <f>H94-H95-H96-H97-H98-H99</f>
        <v>1111.8000000000002</v>
      </c>
      <c r="I100" s="84">
        <f t="shared" si="24"/>
        <v>4595.2</v>
      </c>
      <c r="J100" s="84">
        <f t="shared" si="24"/>
        <v>10848</v>
      </c>
      <c r="K100" s="84">
        <f t="shared" si="24"/>
        <v>9231.899999999994</v>
      </c>
      <c r="L100" s="84">
        <f t="shared" si="24"/>
        <v>4132.899999999999</v>
      </c>
      <c r="M100" s="84">
        <f t="shared" si="24"/>
        <v>637.5999999999999</v>
      </c>
      <c r="N100" s="92">
        <f t="shared" si="24"/>
        <v>304.29999999999995</v>
      </c>
      <c r="O100" s="84">
        <f t="shared" si="24"/>
        <v>4215.6</v>
      </c>
      <c r="P100" s="84">
        <f t="shared" si="24"/>
        <v>5340.200000000001</v>
      </c>
      <c r="Q100" s="84">
        <f t="shared" si="24"/>
        <v>2880.0000000000005</v>
      </c>
      <c r="R100" s="84">
        <f t="shared" si="24"/>
        <v>4969.299999999999</v>
      </c>
      <c r="S100" s="84">
        <f t="shared" si="24"/>
        <v>243.20000000000005</v>
      </c>
      <c r="T100" s="84">
        <f t="shared" si="24"/>
        <v>12011.2</v>
      </c>
      <c r="U100" s="84">
        <f t="shared" si="24"/>
        <v>2626.2</v>
      </c>
      <c r="V100" s="84">
        <f t="shared" si="24"/>
        <v>17739.800000000003</v>
      </c>
      <c r="W100" s="84">
        <f t="shared" si="24"/>
        <v>2032.1999999999998</v>
      </c>
      <c r="X100" s="84">
        <f t="shared" si="24"/>
        <v>76.8999999999998</v>
      </c>
      <c r="Y100" s="84">
        <f t="shared" si="24"/>
        <v>1033.3</v>
      </c>
      <c r="Z100" s="84">
        <f t="shared" si="24"/>
        <v>1893.8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>
        <f t="shared" si="24"/>
        <v>0</v>
      </c>
      <c r="AF100" s="84"/>
      <c r="AG100" s="84">
        <f>AG94-AG95-AG96-AG97-AG98-AG99</f>
        <v>107101.49999999999</v>
      </c>
      <c r="AH100" s="84">
        <f>AH94-AH95-AH96-AH97-AH98-AH99</f>
        <v>32546.554830000015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10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D186"/>
  <sheetViews>
    <sheetView zoomScale="70" zoomScaleNormal="70" zoomScalePageLayoutView="0" workbookViewId="0" topLeftCell="A1">
      <pane xSplit="1" ySplit="8" topLeftCell="R3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F23" sqref="AF2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hidden="1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11.875" style="0" customWidth="1"/>
    <col min="20" max="20" width="11.75390625" style="18" customWidth="1"/>
    <col min="21" max="21" width="10.875" style="18" customWidth="1"/>
    <col min="22" max="22" width="10.875" style="0" customWidth="1"/>
    <col min="23" max="23" width="11.00390625" style="0" hidden="1" customWidth="1"/>
    <col min="24" max="24" width="10.625" style="0" hidden="1" customWidth="1"/>
    <col min="25" max="25" width="11.75390625" style="18" hidden="1" customWidth="1"/>
    <col min="26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8" customFormat="1" ht="21" customHeight="1">
      <c r="A1" s="172" t="s">
        <v>12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</row>
    <row r="2" spans="1:34" s="18" customFormat="1" ht="22.5" customHeight="1">
      <c r="A2" s="173" t="s">
        <v>62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</row>
    <row r="3" spans="2:34" s="18" customFormat="1" ht="17.25" customHeight="1">
      <c r="B3" s="116"/>
      <c r="C3" s="116"/>
      <c r="D3" s="116"/>
      <c r="AH3" s="117" t="s">
        <v>17</v>
      </c>
    </row>
    <row r="4" spans="1:34" s="18" customFormat="1" ht="63">
      <c r="A4" s="118" t="s">
        <v>26</v>
      </c>
      <c r="B4" s="119" t="s">
        <v>63</v>
      </c>
      <c r="C4" s="119" t="s">
        <v>18</v>
      </c>
      <c r="D4" s="119">
        <v>1</v>
      </c>
      <c r="E4" s="19">
        <v>3</v>
      </c>
      <c r="F4" s="19">
        <v>4</v>
      </c>
      <c r="G4" s="19">
        <v>5</v>
      </c>
      <c r="H4" s="19">
        <v>6</v>
      </c>
      <c r="I4" s="19">
        <v>7</v>
      </c>
      <c r="J4" s="19">
        <v>10</v>
      </c>
      <c r="K4" s="19">
        <v>11</v>
      </c>
      <c r="L4" s="19">
        <v>12</v>
      </c>
      <c r="M4" s="19">
        <v>13</v>
      </c>
      <c r="N4" s="19">
        <v>14</v>
      </c>
      <c r="O4" s="19">
        <v>18</v>
      </c>
      <c r="P4" s="19">
        <v>19</v>
      </c>
      <c r="Q4" s="19">
        <v>20</v>
      </c>
      <c r="R4" s="19">
        <v>21</v>
      </c>
      <c r="S4" s="19">
        <v>24</v>
      </c>
      <c r="T4" s="19">
        <v>25</v>
      </c>
      <c r="U4" s="19">
        <v>26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19"/>
      <c r="AB4" s="19"/>
      <c r="AC4" s="19"/>
      <c r="AD4" s="19"/>
      <c r="AE4" s="19"/>
      <c r="AF4" s="119" t="s">
        <v>19</v>
      </c>
      <c r="AG4" s="120" t="s">
        <v>13</v>
      </c>
      <c r="AH4" s="120" t="s">
        <v>20</v>
      </c>
    </row>
    <row r="5" spans="1:34" s="18" customFormat="1" ht="15.75" hidden="1">
      <c r="A5" s="121" t="s">
        <v>42</v>
      </c>
      <c r="B5" s="86">
        <f>SUM(D5:Z5)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86"/>
      <c r="AG5" s="123"/>
      <c r="AH5" s="123"/>
    </row>
    <row r="6" spans="1:34" s="18" customFormat="1" ht="15.75" hidden="1">
      <c r="A6" s="121" t="s">
        <v>33</v>
      </c>
      <c r="B6" s="87">
        <f>SUM(D6:AE6)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122"/>
      <c r="AG6" s="123"/>
      <c r="AH6" s="123"/>
    </row>
    <row r="7" spans="1:34" s="18" customFormat="1" ht="15.75">
      <c r="A7" s="121" t="s">
        <v>36</v>
      </c>
      <c r="B7" s="87">
        <f>SUM(D7:Z7)</f>
        <v>63803.2</v>
      </c>
      <c r="C7" s="86">
        <v>9997.099999999995</v>
      </c>
      <c r="D7" s="122"/>
      <c r="E7" s="39"/>
      <c r="F7" s="39">
        <v>31901.6</v>
      </c>
      <c r="G7" s="39"/>
      <c r="H7" s="124"/>
      <c r="I7" s="125"/>
      <c r="J7" s="39"/>
      <c r="K7" s="39">
        <v>31901.6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86">
        <f>C7+F7+K7-AG16-AG25</f>
        <v>1603.899999999987</v>
      </c>
      <c r="AG7" s="86"/>
      <c r="AH7" s="123"/>
    </row>
    <row r="8" spans="1:56" s="18" customFormat="1" ht="18" customHeight="1">
      <c r="A8" s="126" t="s">
        <v>30</v>
      </c>
      <c r="B8" s="87">
        <f>SUM(E8:AC8)</f>
        <v>136207.2</v>
      </c>
      <c r="C8" s="87">
        <v>51808.37824000011</v>
      </c>
      <c r="D8" s="127"/>
      <c r="E8" s="128">
        <v>6672.4</v>
      </c>
      <c r="F8" s="62">
        <v>3679.2</v>
      </c>
      <c r="G8" s="62">
        <v>3636.6</v>
      </c>
      <c r="H8" s="62">
        <v>5869.4</v>
      </c>
      <c r="I8" s="62">
        <v>8563.9</v>
      </c>
      <c r="J8" s="62">
        <v>17777.1</v>
      </c>
      <c r="K8" s="62">
        <v>2436</v>
      </c>
      <c r="L8" s="62">
        <v>1973.6</v>
      </c>
      <c r="M8" s="62">
        <v>2886</v>
      </c>
      <c r="N8" s="62">
        <v>8385.1</v>
      </c>
      <c r="O8" s="62">
        <v>12331.8</v>
      </c>
      <c r="P8" s="62">
        <v>5263.3</v>
      </c>
      <c r="Q8" s="62">
        <v>5190.3</v>
      </c>
      <c r="R8" s="62">
        <v>7573.1</v>
      </c>
      <c r="S8" s="62">
        <v>10972.7</v>
      </c>
      <c r="T8" s="63">
        <v>3749</v>
      </c>
      <c r="U8" s="63">
        <v>9651.2</v>
      </c>
      <c r="V8" s="62">
        <v>19596.5</v>
      </c>
      <c r="W8" s="62"/>
      <c r="X8" s="62"/>
      <c r="Y8" s="62"/>
      <c r="Z8" s="62"/>
      <c r="AA8" s="62"/>
      <c r="AB8" s="62"/>
      <c r="AC8" s="62"/>
      <c r="AD8" s="129"/>
      <c r="AE8" s="129"/>
      <c r="AF8" s="130">
        <f>SUM(D8:AE8)+C8-AG9+AG16+AG25</f>
        <v>28300.3066200002</v>
      </c>
      <c r="AG8" s="131"/>
      <c r="AH8" s="72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36" s="134" customFormat="1" ht="15.75">
      <c r="A9" s="126" t="s">
        <v>14</v>
      </c>
      <c r="B9" s="132">
        <f aca="true" t="shared" si="0" ref="B9:AE9">B10+B15+B24+B33+B47+B52+B54+B61+B62+B71+B72+B88+B76+B81+B83+B82+B69+B89+B90+B91+B70+B40+B92</f>
        <v>219183.89999999997</v>
      </c>
      <c r="C9" s="132">
        <f t="shared" si="0"/>
        <v>79954.2</v>
      </c>
      <c r="D9" s="90">
        <f t="shared" si="0"/>
        <v>0</v>
      </c>
      <c r="E9" s="90">
        <f t="shared" si="0"/>
        <v>254.4</v>
      </c>
      <c r="F9" s="90">
        <f t="shared" si="0"/>
        <v>3045.7</v>
      </c>
      <c r="G9" s="90">
        <f t="shared" si="0"/>
        <v>9565.8</v>
      </c>
      <c r="H9" s="90">
        <f>H10+H15+H24+H33+H47+H52+H54+H61+H62+H71+H72+H88+H76+H81+H83+H82+H69+H89+H90+H91+H70+H40+H92</f>
        <v>5999.699999999999</v>
      </c>
      <c r="I9" s="90">
        <f t="shared" si="0"/>
        <v>4947.47162</v>
      </c>
      <c r="J9" s="90">
        <f t="shared" si="0"/>
        <v>9309.4</v>
      </c>
      <c r="K9" s="90">
        <f t="shared" si="0"/>
        <v>33398.5</v>
      </c>
      <c r="L9" s="90">
        <f t="shared" si="0"/>
        <v>51394.700000000004</v>
      </c>
      <c r="M9" s="90">
        <f t="shared" si="0"/>
        <v>5278.899999999999</v>
      </c>
      <c r="N9" s="90">
        <f t="shared" si="0"/>
        <v>2657.7999999999997</v>
      </c>
      <c r="O9" s="90">
        <f t="shared" si="0"/>
        <v>2062.5</v>
      </c>
      <c r="P9" s="90">
        <f t="shared" si="0"/>
        <v>5695.3</v>
      </c>
      <c r="Q9" s="90">
        <f t="shared" si="0"/>
        <v>4019</v>
      </c>
      <c r="R9" s="90">
        <f t="shared" si="0"/>
        <v>4339.4</v>
      </c>
      <c r="S9" s="90">
        <f t="shared" si="0"/>
        <v>47823.69999999999</v>
      </c>
      <c r="T9" s="90">
        <f t="shared" si="0"/>
        <v>15705.400000000001</v>
      </c>
      <c r="U9" s="90">
        <f t="shared" si="0"/>
        <v>9906.7</v>
      </c>
      <c r="V9" s="90">
        <f t="shared" si="0"/>
        <v>16507.3</v>
      </c>
      <c r="W9" s="90">
        <f t="shared" si="0"/>
        <v>0</v>
      </c>
      <c r="X9" s="90">
        <f t="shared" si="0"/>
        <v>0</v>
      </c>
      <c r="Y9" s="90">
        <f t="shared" si="0"/>
        <v>0</v>
      </c>
      <c r="Z9" s="90">
        <f t="shared" si="0"/>
        <v>0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 t="shared" si="0"/>
        <v>0</v>
      </c>
      <c r="AE9" s="90">
        <f t="shared" si="0"/>
        <v>0</v>
      </c>
      <c r="AF9" s="90"/>
      <c r="AG9" s="90">
        <f>AG10+AG15+AG24+AG33+AG47+AG52+AG54+AG61+AG62+AG71+AG72+AG76+AG88+AG81+AG83+AG82+AG69+AG89+AG90+AG91+AG70+AG40+AG92</f>
        <v>231911.67161999992</v>
      </c>
      <c r="AH9" s="90">
        <f>AH10+AH15+AH24+AH33+AH47+AH52+AH54+AH61+AH62+AH71+AH72+AH76+AH88+AH81+AH83+AH82+AH69+AH89+AH91+AH90+AH70+AH40+AH92</f>
        <v>67226.42838000007</v>
      </c>
      <c r="AI9" s="133"/>
      <c r="AJ9" s="133"/>
    </row>
    <row r="10" spans="1:36" s="18" customFormat="1" ht="15.75">
      <c r="A10" s="96" t="s">
        <v>4</v>
      </c>
      <c r="B10" s="97">
        <v>18971.4</v>
      </c>
      <c r="C10" s="97">
        <v>5643.699999999997</v>
      </c>
      <c r="D10" s="72"/>
      <c r="E10" s="72">
        <v>247</v>
      </c>
      <c r="F10" s="72">
        <v>44.8</v>
      </c>
      <c r="G10" s="72">
        <v>413.5</v>
      </c>
      <c r="H10" s="72">
        <v>53.4</v>
      </c>
      <c r="I10" s="72">
        <v>25.7</v>
      </c>
      <c r="J10" s="72">
        <v>139.9</v>
      </c>
      <c r="K10" s="70">
        <v>2325.9</v>
      </c>
      <c r="L10" s="72">
        <v>1224.6</v>
      </c>
      <c r="M10" s="72">
        <v>3612.7</v>
      </c>
      <c r="N10" s="72">
        <v>7.2</v>
      </c>
      <c r="O10" s="72">
        <v>24.9</v>
      </c>
      <c r="P10" s="72">
        <v>479.2</v>
      </c>
      <c r="Q10" s="72">
        <v>19.1</v>
      </c>
      <c r="R10" s="72">
        <v>1.8</v>
      </c>
      <c r="S10" s="72">
        <v>1175.5</v>
      </c>
      <c r="T10" s="72">
        <v>45.4</v>
      </c>
      <c r="U10" s="72">
        <v>8006.2</v>
      </c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>
        <f aca="true" t="shared" si="1" ref="AG10:AG59">SUM(D10:AE10)</f>
        <v>17846.8</v>
      </c>
      <c r="AH10" s="72">
        <f>B10+C10-AG10</f>
        <v>6768.299999999999</v>
      </c>
      <c r="AJ10" s="21"/>
    </row>
    <row r="11" spans="1:36" s="18" customFormat="1" ht="15.75">
      <c r="A11" s="98" t="s">
        <v>5</v>
      </c>
      <c r="B11" s="97">
        <v>17936.1</v>
      </c>
      <c r="C11" s="97">
        <v>4435.300000000007</v>
      </c>
      <c r="D11" s="72"/>
      <c r="E11" s="72">
        <v>244.9</v>
      </c>
      <c r="F11" s="72">
        <v>22.5</v>
      </c>
      <c r="G11" s="72">
        <v>122</v>
      </c>
      <c r="H11" s="72"/>
      <c r="I11" s="72"/>
      <c r="J11" s="72">
        <v>32.5</v>
      </c>
      <c r="K11" s="72">
        <f>2213.2+9.1</f>
        <v>2222.2999999999997</v>
      </c>
      <c r="L11" s="72">
        <v>1219</v>
      </c>
      <c r="M11" s="72">
        <v>3586</v>
      </c>
      <c r="N11" s="72"/>
      <c r="O11" s="72"/>
      <c r="P11" s="72">
        <v>360</v>
      </c>
      <c r="Q11" s="72"/>
      <c r="R11" s="72"/>
      <c r="S11" s="72">
        <v>1161.2</v>
      </c>
      <c r="T11" s="72"/>
      <c r="U11" s="72">
        <v>7970.4</v>
      </c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>
        <f t="shared" si="1"/>
        <v>16940.8</v>
      </c>
      <c r="AH11" s="72">
        <f>B11+C11-AG11</f>
        <v>5430.600000000006</v>
      </c>
      <c r="AJ11" s="21"/>
    </row>
    <row r="12" spans="1:36" s="18" customFormat="1" ht="15.75">
      <c r="A12" s="98" t="s">
        <v>2</v>
      </c>
      <c r="B12" s="99">
        <f>94.4-30</f>
        <v>64.4</v>
      </c>
      <c r="C12" s="97">
        <v>18.69999999999999</v>
      </c>
      <c r="D12" s="72"/>
      <c r="E12" s="72"/>
      <c r="F12" s="72"/>
      <c r="G12" s="72">
        <v>52.3</v>
      </c>
      <c r="H12" s="72"/>
      <c r="I12" s="72">
        <v>6.5</v>
      </c>
      <c r="J12" s="72"/>
      <c r="K12" s="72"/>
      <c r="L12" s="72"/>
      <c r="M12" s="72"/>
      <c r="N12" s="72"/>
      <c r="O12" s="72"/>
      <c r="P12" s="72"/>
      <c r="Q12" s="72">
        <v>0.9</v>
      </c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>
        <f t="shared" si="1"/>
        <v>59.699999999999996</v>
      </c>
      <c r="AH12" s="72">
        <f>B12+C12-AG12</f>
        <v>23.4</v>
      </c>
      <c r="AJ12" s="21"/>
    </row>
    <row r="13" spans="1:36" s="18" customFormat="1" ht="15.75" hidden="1">
      <c r="A13" s="98" t="s">
        <v>16</v>
      </c>
      <c r="B13" s="97"/>
      <c r="C13" s="97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>
        <f t="shared" si="1"/>
        <v>0</v>
      </c>
      <c r="AH13" s="72">
        <f>B13+C13-AG13</f>
        <v>0</v>
      </c>
      <c r="AJ13" s="21"/>
    </row>
    <row r="14" spans="1:36" s="18" customFormat="1" ht="15.75">
      <c r="A14" s="98" t="s">
        <v>23</v>
      </c>
      <c r="B14" s="97">
        <f aca="true" t="shared" si="2" ref="B14:Z14">B10-B11-B12-B13</f>
        <v>970.9000000000029</v>
      </c>
      <c r="C14" s="97">
        <v>1189.6999999999905</v>
      </c>
      <c r="D14" s="72">
        <f t="shared" si="2"/>
        <v>0</v>
      </c>
      <c r="E14" s="72">
        <f t="shared" si="2"/>
        <v>2.0999999999999943</v>
      </c>
      <c r="F14" s="72">
        <f t="shared" si="2"/>
        <v>22.299999999999997</v>
      </c>
      <c r="G14" s="72">
        <f t="shared" si="2"/>
        <v>239.2</v>
      </c>
      <c r="H14" s="72">
        <f>H10-H11-H12-H13</f>
        <v>53.4</v>
      </c>
      <c r="I14" s="72">
        <f t="shared" si="2"/>
        <v>19.2</v>
      </c>
      <c r="J14" s="72">
        <f t="shared" si="2"/>
        <v>107.4</v>
      </c>
      <c r="K14" s="72">
        <f t="shared" si="2"/>
        <v>103.60000000000036</v>
      </c>
      <c r="L14" s="72">
        <f t="shared" si="2"/>
        <v>5.599999999999909</v>
      </c>
      <c r="M14" s="72">
        <f t="shared" si="2"/>
        <v>26.699999999999818</v>
      </c>
      <c r="N14" s="72">
        <f t="shared" si="2"/>
        <v>7.2</v>
      </c>
      <c r="O14" s="72">
        <f t="shared" si="2"/>
        <v>24.9</v>
      </c>
      <c r="P14" s="72">
        <f t="shared" si="2"/>
        <v>119.19999999999999</v>
      </c>
      <c r="Q14" s="72">
        <f t="shared" si="2"/>
        <v>18.200000000000003</v>
      </c>
      <c r="R14" s="72">
        <f t="shared" si="2"/>
        <v>1.8</v>
      </c>
      <c r="S14" s="72">
        <f t="shared" si="2"/>
        <v>14.299999999999955</v>
      </c>
      <c r="T14" s="72">
        <f t="shared" si="2"/>
        <v>45.4</v>
      </c>
      <c r="U14" s="72">
        <f t="shared" si="2"/>
        <v>35.80000000000018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>
        <f t="shared" si="2"/>
        <v>0</v>
      </c>
      <c r="AA14" s="72"/>
      <c r="AB14" s="72"/>
      <c r="AC14" s="72"/>
      <c r="AD14" s="72"/>
      <c r="AE14" s="72"/>
      <c r="AF14" s="72"/>
      <c r="AG14" s="72">
        <f t="shared" si="1"/>
        <v>846.3000000000001</v>
      </c>
      <c r="AH14" s="72">
        <f>AH10-AH11-AH12-AH13</f>
        <v>1314.2999999999934</v>
      </c>
      <c r="AJ14" s="21"/>
    </row>
    <row r="15" spans="1:36" s="18" customFormat="1" ht="15" customHeight="1">
      <c r="A15" s="96" t="s">
        <v>6</v>
      </c>
      <c r="B15" s="97">
        <f>113508.2+2.3-1603.2-3000</f>
        <v>108907.3</v>
      </c>
      <c r="C15" s="97">
        <v>43415.30000000002</v>
      </c>
      <c r="D15" s="100"/>
      <c r="E15" s="100"/>
      <c r="F15" s="72">
        <f>188.2+2302.2</f>
        <v>2490.3999999999996</v>
      </c>
      <c r="G15" s="72">
        <v>499</v>
      </c>
      <c r="H15" s="72">
        <v>1591.3</v>
      </c>
      <c r="I15" s="72">
        <v>567.9</v>
      </c>
      <c r="J15" s="72">
        <v>115.1</v>
      </c>
      <c r="K15" s="72">
        <v>18723.3</v>
      </c>
      <c r="L15" s="72">
        <f>4498.4+41728.4</f>
        <v>46226.8</v>
      </c>
      <c r="M15" s="72">
        <v>849.5</v>
      </c>
      <c r="N15" s="72">
        <v>425.1</v>
      </c>
      <c r="O15" s="72">
        <v>621.1</v>
      </c>
      <c r="P15" s="72">
        <v>23.4</v>
      </c>
      <c r="Q15" s="72">
        <v>130.9</v>
      </c>
      <c r="R15" s="72">
        <v>1148.2</v>
      </c>
      <c r="S15" s="72">
        <f>15957.3+10871.6</f>
        <v>26828.9</v>
      </c>
      <c r="T15" s="72">
        <v>22012.8</v>
      </c>
      <c r="U15" s="72">
        <v>800.8</v>
      </c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>
        <f t="shared" si="1"/>
        <v>123054.5</v>
      </c>
      <c r="AH15" s="72">
        <f aca="true" t="shared" si="3" ref="AH15:AH31">B15+C15-AG15</f>
        <v>29268.100000000035</v>
      </c>
      <c r="AJ15" s="21"/>
    </row>
    <row r="16" spans="1:36" s="104" customFormat="1" ht="15" customHeight="1">
      <c r="A16" s="101" t="s">
        <v>38</v>
      </c>
      <c r="B16" s="102">
        <v>46764.9</v>
      </c>
      <c r="C16" s="102">
        <v>9099</v>
      </c>
      <c r="D16" s="88"/>
      <c r="E16" s="88"/>
      <c r="F16" s="76">
        <v>2302.2</v>
      </c>
      <c r="G16" s="76"/>
      <c r="H16" s="76"/>
      <c r="I16" s="76"/>
      <c r="J16" s="76"/>
      <c r="K16" s="76"/>
      <c r="L16" s="76">
        <v>41728.4</v>
      </c>
      <c r="M16" s="76">
        <v>13.4</v>
      </c>
      <c r="N16" s="76"/>
      <c r="O16" s="76"/>
      <c r="P16" s="76"/>
      <c r="Q16" s="76"/>
      <c r="R16" s="76"/>
      <c r="S16" s="76">
        <v>10871.6</v>
      </c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88">
        <f t="shared" si="1"/>
        <v>54915.6</v>
      </c>
      <c r="AH16" s="88">
        <f t="shared" si="3"/>
        <v>948.3000000000029</v>
      </c>
      <c r="AI16" s="103"/>
      <c r="AJ16" s="21"/>
    </row>
    <row r="17" spans="1:36" s="18" customFormat="1" ht="15.75">
      <c r="A17" s="98" t="s">
        <v>5</v>
      </c>
      <c r="B17" s="97">
        <v>99576.2</v>
      </c>
      <c r="C17" s="97">
        <v>25260.059999999983</v>
      </c>
      <c r="D17" s="72"/>
      <c r="E17" s="72"/>
      <c r="F17" s="72">
        <f>2302.2+162.1</f>
        <v>2464.2999999999997</v>
      </c>
      <c r="G17" s="72"/>
      <c r="H17" s="72"/>
      <c r="I17" s="72"/>
      <c r="J17" s="72"/>
      <c r="K17" s="72">
        <v>18657.4</v>
      </c>
      <c r="L17" s="72">
        <f>3346.3+41728.4</f>
        <v>45074.700000000004</v>
      </c>
      <c r="M17" s="72">
        <v>13.4</v>
      </c>
      <c r="N17" s="72">
        <v>4.5</v>
      </c>
      <c r="O17" s="72"/>
      <c r="P17" s="72"/>
      <c r="Q17" s="72"/>
      <c r="R17" s="72"/>
      <c r="S17" s="72">
        <f>10871.6+15709.6</f>
        <v>26581.2</v>
      </c>
      <c r="T17" s="72">
        <v>21507.2</v>
      </c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>
        <f t="shared" si="1"/>
        <v>114302.7</v>
      </c>
      <c r="AH17" s="72">
        <f t="shared" si="3"/>
        <v>10533.559999999983</v>
      </c>
      <c r="AI17" s="21"/>
      <c r="AJ17" s="21"/>
    </row>
    <row r="18" spans="1:36" s="18" customFormat="1" ht="15.75">
      <c r="A18" s="98" t="s">
        <v>3</v>
      </c>
      <c r="B18" s="97">
        <v>0</v>
      </c>
      <c r="C18" s="97">
        <v>14.700000000000001</v>
      </c>
      <c r="D18" s="72"/>
      <c r="E18" s="72"/>
      <c r="F18" s="72"/>
      <c r="G18" s="72"/>
      <c r="H18" s="72"/>
      <c r="I18" s="72">
        <v>0.1</v>
      </c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>
        <f t="shared" si="1"/>
        <v>0.1</v>
      </c>
      <c r="AH18" s="72">
        <f t="shared" si="3"/>
        <v>14.600000000000001</v>
      </c>
      <c r="AJ18" s="21"/>
    </row>
    <row r="19" spans="1:36" s="18" customFormat="1" ht="15.75">
      <c r="A19" s="98" t="s">
        <v>1</v>
      </c>
      <c r="B19" s="97">
        <v>2131.2</v>
      </c>
      <c r="C19" s="97">
        <v>2625.2999999999984</v>
      </c>
      <c r="D19" s="72"/>
      <c r="E19" s="72"/>
      <c r="F19" s="72"/>
      <c r="G19" s="72">
        <v>334.9</v>
      </c>
      <c r="H19" s="72">
        <v>507.1</v>
      </c>
      <c r="I19" s="72">
        <v>37.5</v>
      </c>
      <c r="J19" s="72">
        <v>42.2</v>
      </c>
      <c r="K19" s="72"/>
      <c r="L19" s="72">
        <v>615.4</v>
      </c>
      <c r="M19" s="72">
        <v>261.9</v>
      </c>
      <c r="N19" s="72">
        <v>63.6</v>
      </c>
      <c r="O19" s="72">
        <v>420</v>
      </c>
      <c r="P19" s="72">
        <v>11.8</v>
      </c>
      <c r="Q19" s="72">
        <v>62.7</v>
      </c>
      <c r="R19" s="72">
        <v>271.9</v>
      </c>
      <c r="S19" s="72"/>
      <c r="T19" s="72">
        <v>339.3</v>
      </c>
      <c r="U19" s="72">
        <v>1.2</v>
      </c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>
        <f t="shared" si="1"/>
        <v>2969.5</v>
      </c>
      <c r="AH19" s="72">
        <f t="shared" si="3"/>
        <v>1786.9999999999982</v>
      </c>
      <c r="AJ19" s="21"/>
    </row>
    <row r="20" spans="1:36" s="18" customFormat="1" ht="15.75">
      <c r="A20" s="98" t="s">
        <v>2</v>
      </c>
      <c r="B20" s="97">
        <f>7677.9-1603.2-1801.7-3000</f>
        <v>1273</v>
      </c>
      <c r="C20" s="97">
        <v>8108.699999999996</v>
      </c>
      <c r="D20" s="72"/>
      <c r="E20" s="72"/>
      <c r="F20" s="72">
        <v>26.1</v>
      </c>
      <c r="G20" s="72">
        <v>153.5</v>
      </c>
      <c r="H20" s="72">
        <v>791.4</v>
      </c>
      <c r="I20" s="72">
        <v>33.6</v>
      </c>
      <c r="J20" s="72">
        <v>60.7</v>
      </c>
      <c r="K20" s="72">
        <v>1.7</v>
      </c>
      <c r="L20" s="72">
        <v>401.1</v>
      </c>
      <c r="M20" s="72">
        <v>68.1</v>
      </c>
      <c r="N20" s="72">
        <v>24.8</v>
      </c>
      <c r="O20" s="72">
        <f>4.6+1</f>
        <v>5.6</v>
      </c>
      <c r="P20" s="72">
        <v>8</v>
      </c>
      <c r="Q20" s="72">
        <v>29.5</v>
      </c>
      <c r="R20" s="72">
        <v>15</v>
      </c>
      <c r="S20" s="72">
        <v>11.6</v>
      </c>
      <c r="T20" s="72">
        <v>51.3</v>
      </c>
      <c r="U20" s="72">
        <v>0.2</v>
      </c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>
        <f t="shared" si="1"/>
        <v>1682.1999999999996</v>
      </c>
      <c r="AH20" s="72">
        <f t="shared" si="3"/>
        <v>7699.499999999997</v>
      </c>
      <c r="AJ20" s="21"/>
    </row>
    <row r="21" spans="1:36" s="18" customFormat="1" ht="15.75">
      <c r="A21" s="98" t="s">
        <v>16</v>
      </c>
      <c r="B21" s="97">
        <f>979.8+2.3</f>
        <v>982.0999999999999</v>
      </c>
      <c r="C21" s="97">
        <v>761.5999999999999</v>
      </c>
      <c r="D21" s="72"/>
      <c r="E21" s="72"/>
      <c r="F21" s="72"/>
      <c r="G21" s="72"/>
      <c r="H21" s="72"/>
      <c r="I21" s="72"/>
      <c r="J21" s="72">
        <v>11.5</v>
      </c>
      <c r="K21" s="72"/>
      <c r="L21" s="72"/>
      <c r="M21" s="72">
        <v>502</v>
      </c>
      <c r="N21" s="72">
        <v>21</v>
      </c>
      <c r="O21" s="72"/>
      <c r="P21" s="72"/>
      <c r="Q21" s="72"/>
      <c r="R21" s="72">
        <v>253.6</v>
      </c>
      <c r="S21" s="72">
        <v>228.1</v>
      </c>
      <c r="T21" s="72"/>
      <c r="U21" s="72">
        <v>113.2</v>
      </c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>
        <f t="shared" si="1"/>
        <v>1129.4</v>
      </c>
      <c r="AH21" s="72">
        <f t="shared" si="3"/>
        <v>614.2999999999997</v>
      </c>
      <c r="AJ21" s="21"/>
    </row>
    <row r="22" spans="1:36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>
        <f t="shared" si="1"/>
        <v>0</v>
      </c>
      <c r="AH22" s="72">
        <f t="shared" si="3"/>
        <v>0</v>
      </c>
      <c r="AJ22" s="21"/>
    </row>
    <row r="23" spans="1:36" s="18" customFormat="1" ht="15.75">
      <c r="A23" s="98" t="s">
        <v>23</v>
      </c>
      <c r="B23" s="97">
        <f>B15-B17-B18-B19-B20-B21-B22</f>
        <v>4944.800000000007</v>
      </c>
      <c r="C23" s="97">
        <v>6644.940000000013</v>
      </c>
      <c r="D23" s="72">
        <f aca="true" t="shared" si="4" ref="D23:AE23">D15-D17-D18-D19-D20-D21-D22</f>
        <v>0</v>
      </c>
      <c r="E23" s="72">
        <f t="shared" si="4"/>
        <v>0</v>
      </c>
      <c r="F23" s="72">
        <f t="shared" si="4"/>
        <v>-9.237055564881302E-14</v>
      </c>
      <c r="G23" s="72">
        <f t="shared" si="4"/>
        <v>10.600000000000023</v>
      </c>
      <c r="H23" s="72">
        <f>H15-H17-H18-H19-H20-H21-H22</f>
        <v>292.79999999999984</v>
      </c>
      <c r="I23" s="72">
        <f t="shared" si="4"/>
        <v>496.69999999999993</v>
      </c>
      <c r="J23" s="72">
        <f t="shared" si="4"/>
        <v>0.6999999999999886</v>
      </c>
      <c r="K23" s="72">
        <f t="shared" si="4"/>
        <v>64.19999999999781</v>
      </c>
      <c r="L23" s="72">
        <f t="shared" si="4"/>
        <v>135.59999999999854</v>
      </c>
      <c r="M23" s="72">
        <f t="shared" si="4"/>
        <v>4.100000000000023</v>
      </c>
      <c r="N23" s="72">
        <f t="shared" si="4"/>
        <v>311.2</v>
      </c>
      <c r="O23" s="72">
        <f t="shared" si="4"/>
        <v>195.50000000000003</v>
      </c>
      <c r="P23" s="72">
        <f t="shared" si="4"/>
        <v>3.599999999999998</v>
      </c>
      <c r="Q23" s="72">
        <f t="shared" si="4"/>
        <v>38.7</v>
      </c>
      <c r="R23" s="72">
        <f t="shared" si="4"/>
        <v>607.7</v>
      </c>
      <c r="S23" s="72">
        <f t="shared" si="4"/>
        <v>8.000000000000739</v>
      </c>
      <c r="T23" s="72">
        <f t="shared" si="4"/>
        <v>114.99999999999854</v>
      </c>
      <c r="U23" s="72">
        <f t="shared" si="4"/>
        <v>686.1999999999998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>
        <f t="shared" si="4"/>
        <v>0</v>
      </c>
      <c r="AF23" s="72"/>
      <c r="AG23" s="72">
        <f>SUM(D23:AE23)</f>
        <v>2970.5999999999954</v>
      </c>
      <c r="AH23" s="72">
        <f>B23+C23-AG23</f>
        <v>8619.140000000025</v>
      </c>
      <c r="AJ23" s="21"/>
    </row>
    <row r="24" spans="1:36" s="18" customFormat="1" ht="15" customHeight="1">
      <c r="A24" s="96" t="s">
        <v>7</v>
      </c>
      <c r="B24" s="97">
        <f>38587-6554-321.5+680.4+0.2</f>
        <v>32392.100000000002</v>
      </c>
      <c r="C24" s="97">
        <v>15127.600000000006</v>
      </c>
      <c r="D24" s="72"/>
      <c r="E24" s="72"/>
      <c r="F24" s="72">
        <v>124.1</v>
      </c>
      <c r="G24" s="72">
        <v>88.2</v>
      </c>
      <c r="H24" s="72"/>
      <c r="I24" s="72">
        <f>465.537+2379.1</f>
        <v>2844.6369999999997</v>
      </c>
      <c r="J24" s="72">
        <v>2.5</v>
      </c>
      <c r="K24" s="72">
        <f>781.8+7929.5</f>
        <v>8711.3</v>
      </c>
      <c r="L24" s="72">
        <v>2777.4</v>
      </c>
      <c r="M24" s="72"/>
      <c r="N24" s="72">
        <v>2069.6</v>
      </c>
      <c r="O24" s="72">
        <f>0.4+7.6</f>
        <v>8</v>
      </c>
      <c r="P24" s="72"/>
      <c r="Q24" s="72"/>
      <c r="R24" s="72">
        <f>55.2+549.6</f>
        <v>604.8000000000001</v>
      </c>
      <c r="S24" s="72">
        <f>6132.1+3997.5</f>
        <v>10129.6</v>
      </c>
      <c r="T24" s="72">
        <f>7281</f>
        <v>7281</v>
      </c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>
        <f t="shared" si="1"/>
        <v>34641.136999999995</v>
      </c>
      <c r="AH24" s="72">
        <f t="shared" si="3"/>
        <v>12878.563000000016</v>
      </c>
      <c r="AJ24" s="21"/>
    </row>
    <row r="25" spans="1:36" s="104" customFormat="1" ht="15" customHeight="1">
      <c r="A25" s="101" t="s">
        <v>39</v>
      </c>
      <c r="B25" s="102">
        <f>17137.9+0.2</f>
        <v>17138.100000000002</v>
      </c>
      <c r="C25" s="102">
        <v>199.40000000000146</v>
      </c>
      <c r="D25" s="76"/>
      <c r="E25" s="76"/>
      <c r="F25" s="76">
        <v>124.1</v>
      </c>
      <c r="G25" s="76"/>
      <c r="H25" s="76"/>
      <c r="I25" s="76">
        <v>465.5</v>
      </c>
      <c r="J25" s="76"/>
      <c r="K25" s="76">
        <v>7929.5</v>
      </c>
      <c r="L25" s="76">
        <v>2777.4</v>
      </c>
      <c r="M25" s="76"/>
      <c r="N25" s="76">
        <v>1429.6</v>
      </c>
      <c r="O25" s="76">
        <v>7.6</v>
      </c>
      <c r="P25" s="76"/>
      <c r="Q25" s="76"/>
      <c r="R25" s="76">
        <v>549.6</v>
      </c>
      <c r="S25" s="76">
        <v>3997.5</v>
      </c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88">
        <f t="shared" si="1"/>
        <v>17280.800000000003</v>
      </c>
      <c r="AH25" s="88">
        <f t="shared" si="3"/>
        <v>56.70000000000073</v>
      </c>
      <c r="AI25" s="103"/>
      <c r="AJ25" s="21"/>
    </row>
    <row r="26" spans="1:36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>
        <f t="shared" si="1"/>
        <v>0</v>
      </c>
      <c r="AH26" s="72">
        <f t="shared" si="3"/>
        <v>0</v>
      </c>
      <c r="AI26" s="21"/>
      <c r="AJ26" s="21"/>
    </row>
    <row r="27" spans="1:36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>
        <f t="shared" si="1"/>
        <v>0</v>
      </c>
      <c r="AH27" s="72">
        <f t="shared" si="3"/>
        <v>0</v>
      </c>
      <c r="AJ27" s="21"/>
    </row>
    <row r="28" spans="1:36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>
        <f t="shared" si="1"/>
        <v>0</v>
      </c>
      <c r="AH28" s="72">
        <f t="shared" si="3"/>
        <v>0</v>
      </c>
      <c r="AJ28" s="21"/>
    </row>
    <row r="29" spans="1:36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>
        <f t="shared" si="1"/>
        <v>0</v>
      </c>
      <c r="AH29" s="72">
        <f t="shared" si="3"/>
        <v>0</v>
      </c>
      <c r="AJ29" s="21"/>
    </row>
    <row r="30" spans="1:36" s="18" customFormat="1" ht="15.75">
      <c r="A30" s="98" t="s">
        <v>16</v>
      </c>
      <c r="B30" s="97">
        <f>90.9+42.4</f>
        <v>133.3</v>
      </c>
      <c r="C30" s="97">
        <v>63.90000000000002</v>
      </c>
      <c r="D30" s="72"/>
      <c r="E30" s="72"/>
      <c r="F30" s="72"/>
      <c r="G30" s="72">
        <v>88.2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>
        <v>109</v>
      </c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>
        <f t="shared" si="1"/>
        <v>197.2</v>
      </c>
      <c r="AH30" s="72">
        <f t="shared" si="3"/>
        <v>0</v>
      </c>
      <c r="AJ30" s="21"/>
    </row>
    <row r="31" spans="1:36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>
        <f t="shared" si="1"/>
        <v>0</v>
      </c>
      <c r="AH31" s="72">
        <f t="shared" si="3"/>
        <v>0</v>
      </c>
      <c r="AJ31" s="21"/>
    </row>
    <row r="32" spans="1:36" s="18" customFormat="1" ht="15.75">
      <c r="A32" s="98" t="s">
        <v>23</v>
      </c>
      <c r="B32" s="97">
        <f>B24-B30</f>
        <v>32258.800000000003</v>
      </c>
      <c r="C32" s="97">
        <v>15063.700000000006</v>
      </c>
      <c r="D32" s="72">
        <f aca="true" t="shared" si="5" ref="D32:AE32">D24-D26-D27-D28-D29-D30-D31</f>
        <v>0</v>
      </c>
      <c r="E32" s="72">
        <f t="shared" si="5"/>
        <v>0</v>
      </c>
      <c r="F32" s="72">
        <f t="shared" si="5"/>
        <v>124.1</v>
      </c>
      <c r="G32" s="72">
        <f t="shared" si="5"/>
        <v>0</v>
      </c>
      <c r="H32" s="72">
        <f>H24-H26-H27-H28-H29-H30-H31</f>
        <v>0</v>
      </c>
      <c r="I32" s="72">
        <f t="shared" si="5"/>
        <v>2844.6369999999997</v>
      </c>
      <c r="J32" s="72">
        <f t="shared" si="5"/>
        <v>2.5</v>
      </c>
      <c r="K32" s="72">
        <f t="shared" si="5"/>
        <v>8711.3</v>
      </c>
      <c r="L32" s="72">
        <f t="shared" si="5"/>
        <v>2777.4</v>
      </c>
      <c r="M32" s="72">
        <f t="shared" si="5"/>
        <v>0</v>
      </c>
      <c r="N32" s="72">
        <f t="shared" si="5"/>
        <v>2069.6</v>
      </c>
      <c r="O32" s="72">
        <f t="shared" si="5"/>
        <v>8</v>
      </c>
      <c r="P32" s="72">
        <f t="shared" si="5"/>
        <v>0</v>
      </c>
      <c r="Q32" s="72">
        <f t="shared" si="5"/>
        <v>0</v>
      </c>
      <c r="R32" s="72">
        <f t="shared" si="5"/>
        <v>604.8000000000001</v>
      </c>
      <c r="S32" s="72">
        <f t="shared" si="5"/>
        <v>10020.6</v>
      </c>
      <c r="T32" s="72">
        <f t="shared" si="5"/>
        <v>7281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>
        <f t="shared" si="5"/>
        <v>0</v>
      </c>
      <c r="AF32" s="72"/>
      <c r="AG32" s="72">
        <f t="shared" si="1"/>
        <v>34443.937</v>
      </c>
      <c r="AH32" s="72">
        <f>AH24-AH30</f>
        <v>12878.563000000016</v>
      </c>
      <c r="AJ32" s="21"/>
    </row>
    <row r="33" spans="1:36" s="18" customFormat="1" ht="15" customHeight="1">
      <c r="A33" s="96" t="s">
        <v>8</v>
      </c>
      <c r="B33" s="97">
        <v>2278.8</v>
      </c>
      <c r="C33" s="97">
        <v>635.0000000000001</v>
      </c>
      <c r="D33" s="72"/>
      <c r="E33" s="72"/>
      <c r="F33" s="72"/>
      <c r="G33" s="72"/>
      <c r="H33" s="72">
        <v>7.3</v>
      </c>
      <c r="I33" s="72"/>
      <c r="J33" s="72"/>
      <c r="K33" s="72"/>
      <c r="L33" s="72">
        <v>105</v>
      </c>
      <c r="M33" s="72"/>
      <c r="N33" s="72"/>
      <c r="O33" s="72"/>
      <c r="P33" s="72">
        <v>495.2</v>
      </c>
      <c r="Q33" s="72"/>
      <c r="R33" s="72">
        <v>130.9</v>
      </c>
      <c r="S33" s="72">
        <v>134.1</v>
      </c>
      <c r="T33" s="72">
        <v>450.8</v>
      </c>
      <c r="U33" s="72">
        <v>421.5</v>
      </c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>
        <f>SUM(D33:AE33)</f>
        <v>1744.8</v>
      </c>
      <c r="AH33" s="72">
        <f aca="true" t="shared" si="6" ref="AH33:AH38">B33+C33-AG33</f>
        <v>1169.0000000000002</v>
      </c>
      <c r="AJ33" s="21"/>
    </row>
    <row r="34" spans="1:36" s="18" customFormat="1" ht="15.75">
      <c r="A34" s="98" t="s">
        <v>5</v>
      </c>
      <c r="B34" s="97">
        <v>346.6</v>
      </c>
      <c r="C34" s="97">
        <v>28.899999999999977</v>
      </c>
      <c r="D34" s="72"/>
      <c r="E34" s="72"/>
      <c r="F34" s="72"/>
      <c r="G34" s="72"/>
      <c r="H34" s="72"/>
      <c r="I34" s="72"/>
      <c r="J34" s="72"/>
      <c r="K34" s="72"/>
      <c r="L34" s="72">
        <v>102</v>
      </c>
      <c r="M34" s="72"/>
      <c r="N34" s="72"/>
      <c r="O34" s="72"/>
      <c r="P34" s="72"/>
      <c r="Q34" s="72"/>
      <c r="R34" s="72">
        <v>130.9</v>
      </c>
      <c r="S34" s="72">
        <v>94.1</v>
      </c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>
        <f t="shared" si="1"/>
        <v>327</v>
      </c>
      <c r="AH34" s="72">
        <f t="shared" si="6"/>
        <v>48.5</v>
      </c>
      <c r="AJ34" s="21"/>
    </row>
    <row r="35" spans="1:36" s="18" customFormat="1" ht="15.75">
      <c r="A35" s="98" t="s">
        <v>1</v>
      </c>
      <c r="B35" s="97"/>
      <c r="C35" s="97">
        <v>420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>
        <v>351.5</v>
      </c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>
        <f t="shared" si="1"/>
        <v>351.5</v>
      </c>
      <c r="AH35" s="72">
        <f t="shared" si="6"/>
        <v>68.5</v>
      </c>
      <c r="AJ35" s="21"/>
    </row>
    <row r="36" spans="1:36" s="18" customFormat="1" ht="15.75">
      <c r="A36" s="98" t="s">
        <v>2</v>
      </c>
      <c r="B36" s="105">
        <v>4.3</v>
      </c>
      <c r="C36" s="97">
        <v>73.9</v>
      </c>
      <c r="D36" s="72"/>
      <c r="E36" s="72"/>
      <c r="F36" s="72"/>
      <c r="G36" s="72"/>
      <c r="H36" s="72">
        <v>7</v>
      </c>
      <c r="I36" s="72"/>
      <c r="J36" s="72"/>
      <c r="K36" s="72"/>
      <c r="L36" s="72">
        <v>0.8</v>
      </c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>
        <f t="shared" si="1"/>
        <v>7.8</v>
      </c>
      <c r="AH36" s="72">
        <f t="shared" si="6"/>
        <v>70.4</v>
      </c>
      <c r="AJ36" s="21"/>
    </row>
    <row r="37" spans="1:36" s="18" customFormat="1" ht="15.75">
      <c r="A37" s="98" t="s">
        <v>16</v>
      </c>
      <c r="B37" s="97">
        <v>1713.7</v>
      </c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>
        <v>494.9</v>
      </c>
      <c r="Q37" s="72"/>
      <c r="R37" s="72"/>
      <c r="S37" s="72"/>
      <c r="T37" s="72">
        <v>450.8</v>
      </c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>
        <f t="shared" si="1"/>
        <v>945.7</v>
      </c>
      <c r="AH37" s="72">
        <f t="shared" si="6"/>
        <v>768</v>
      </c>
      <c r="AJ37" s="21"/>
    </row>
    <row r="38" spans="1:36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>
        <f t="shared" si="1"/>
        <v>0</v>
      </c>
      <c r="AH38" s="72">
        <f t="shared" si="6"/>
        <v>0</v>
      </c>
      <c r="AJ38" s="21"/>
    </row>
    <row r="39" spans="1:36" s="18" customFormat="1" ht="15.75">
      <c r="A39" s="98" t="s">
        <v>23</v>
      </c>
      <c r="B39" s="97">
        <f aca="true" t="shared" si="7" ref="B39:AE39">B33-B34-B36-B38-B37-B35</f>
        <v>214.20000000000027</v>
      </c>
      <c r="C39" s="97">
        <v>112.20000000000016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>H33-H34-H36-H38-H37-H35</f>
        <v>0.2999999999999998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2.2</v>
      </c>
      <c r="M39" s="72">
        <f t="shared" si="7"/>
        <v>0</v>
      </c>
      <c r="N39" s="72">
        <f t="shared" si="7"/>
        <v>0</v>
      </c>
      <c r="O39" s="72">
        <f t="shared" si="7"/>
        <v>0</v>
      </c>
      <c r="P39" s="72">
        <f t="shared" si="7"/>
        <v>0.30000000000001137</v>
      </c>
      <c r="Q39" s="72">
        <f t="shared" si="7"/>
        <v>0</v>
      </c>
      <c r="R39" s="72">
        <f t="shared" si="7"/>
        <v>0</v>
      </c>
      <c r="S39" s="72">
        <f t="shared" si="7"/>
        <v>40</v>
      </c>
      <c r="T39" s="72">
        <f t="shared" si="7"/>
        <v>0</v>
      </c>
      <c r="U39" s="72">
        <f t="shared" si="7"/>
        <v>70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>
        <f t="shared" si="7"/>
        <v>0</v>
      </c>
      <c r="AF39" s="72"/>
      <c r="AG39" s="72">
        <f t="shared" si="1"/>
        <v>112.80000000000001</v>
      </c>
      <c r="AH39" s="72">
        <f>AH33-AH34-AH36-AH38-AH35-AH37</f>
        <v>213.60000000000014</v>
      </c>
      <c r="AJ39" s="21"/>
    </row>
    <row r="40" spans="1:36" s="18" customFormat="1" ht="15" customHeight="1">
      <c r="A40" s="96" t="s">
        <v>29</v>
      </c>
      <c r="B40" s="97">
        <f>1375.3+33.6</f>
        <v>1408.8999999999999</v>
      </c>
      <c r="C40" s="97">
        <v>326.4000000000003</v>
      </c>
      <c r="D40" s="72"/>
      <c r="E40" s="72"/>
      <c r="F40" s="72"/>
      <c r="G40" s="72">
        <v>10.5</v>
      </c>
      <c r="H40" s="72"/>
      <c r="I40" s="72"/>
      <c r="J40" s="72"/>
      <c r="K40" s="72">
        <v>475.1</v>
      </c>
      <c r="L40" s="72"/>
      <c r="M40" s="72"/>
      <c r="N40" s="72"/>
      <c r="O40" s="72"/>
      <c r="P40" s="72"/>
      <c r="Q40" s="72"/>
      <c r="R40" s="72">
        <v>926.2</v>
      </c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>
        <f t="shared" si="1"/>
        <v>1411.8000000000002</v>
      </c>
      <c r="AH40" s="72">
        <f aca="true" t="shared" si="8" ref="AH40:AH45">B40+C40-AG40</f>
        <v>323.5</v>
      </c>
      <c r="AJ40" s="21"/>
    </row>
    <row r="41" spans="1:36" s="18" customFormat="1" ht="15.75">
      <c r="A41" s="98" t="s">
        <v>5</v>
      </c>
      <c r="B41" s="97">
        <v>1322.6</v>
      </c>
      <c r="C41" s="97">
        <v>152.1999999999996</v>
      </c>
      <c r="D41" s="72"/>
      <c r="E41" s="72"/>
      <c r="F41" s="72"/>
      <c r="G41" s="72"/>
      <c r="H41" s="72"/>
      <c r="I41" s="72"/>
      <c r="J41" s="72"/>
      <c r="K41" s="72">
        <v>449.3</v>
      </c>
      <c r="L41" s="72"/>
      <c r="M41" s="72"/>
      <c r="N41" s="72"/>
      <c r="O41" s="72"/>
      <c r="P41" s="72"/>
      <c r="Q41" s="72"/>
      <c r="R41" s="72">
        <v>922.6</v>
      </c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>
        <f t="shared" si="1"/>
        <v>1371.9</v>
      </c>
      <c r="AH41" s="72">
        <f t="shared" si="8"/>
        <v>102.89999999999941</v>
      </c>
      <c r="AI41" s="21"/>
      <c r="AJ41" s="21"/>
    </row>
    <row r="42" spans="1:36" s="18" customFormat="1" ht="15.75">
      <c r="A42" s="98" t="s">
        <v>3</v>
      </c>
      <c r="B42" s="97">
        <v>0</v>
      </c>
      <c r="C42" s="97">
        <v>0.9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>
        <f t="shared" si="1"/>
        <v>0</v>
      </c>
      <c r="AH42" s="72">
        <f t="shared" si="8"/>
        <v>0.9</v>
      </c>
      <c r="AJ42" s="21"/>
    </row>
    <row r="43" spans="1:36" s="18" customFormat="1" ht="15.75">
      <c r="A43" s="98" t="s">
        <v>1</v>
      </c>
      <c r="B43" s="97">
        <v>10.8</v>
      </c>
      <c r="C43" s="97">
        <v>3.8000000000000025</v>
      </c>
      <c r="D43" s="72"/>
      <c r="E43" s="72"/>
      <c r="F43" s="72"/>
      <c r="G43" s="72"/>
      <c r="H43" s="72"/>
      <c r="I43" s="72"/>
      <c r="J43" s="72"/>
      <c r="K43" s="72">
        <v>10.6</v>
      </c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>
        <f t="shared" si="1"/>
        <v>10.6</v>
      </c>
      <c r="AH43" s="72">
        <f t="shared" si="8"/>
        <v>4.0000000000000036</v>
      </c>
      <c r="AJ43" s="21"/>
    </row>
    <row r="44" spans="1:36" s="18" customFormat="1" ht="15.75">
      <c r="A44" s="98" t="s">
        <v>2</v>
      </c>
      <c r="B44" s="97">
        <v>8.3</v>
      </c>
      <c r="C44" s="97">
        <v>160.50000000000006</v>
      </c>
      <c r="D44" s="72"/>
      <c r="E44" s="72"/>
      <c r="F44" s="72"/>
      <c r="G44" s="72">
        <v>3.9</v>
      </c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>
        <f t="shared" si="1"/>
        <v>3.9</v>
      </c>
      <c r="AH44" s="72">
        <f t="shared" si="8"/>
        <v>164.90000000000006</v>
      </c>
      <c r="AJ44" s="21"/>
    </row>
    <row r="45" spans="1:36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>
        <f t="shared" si="1"/>
        <v>0</v>
      </c>
      <c r="AH45" s="72">
        <f t="shared" si="8"/>
        <v>0</v>
      </c>
      <c r="AJ45" s="21"/>
    </row>
    <row r="46" spans="1:36" s="18" customFormat="1" ht="15.75">
      <c r="A46" s="98" t="s">
        <v>23</v>
      </c>
      <c r="B46" s="97">
        <f aca="true" t="shared" si="9" ref="B46:AE46">B40-B41-B42-B43-B44-B45</f>
        <v>67.19999999999996</v>
      </c>
      <c r="C46" s="97">
        <v>9.000000000000654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6.6</v>
      </c>
      <c r="H46" s="72">
        <f>H40-H41-H42-H43-H44-H45</f>
        <v>0</v>
      </c>
      <c r="I46" s="72">
        <f t="shared" si="9"/>
        <v>0</v>
      </c>
      <c r="J46" s="72">
        <f t="shared" si="9"/>
        <v>0</v>
      </c>
      <c r="K46" s="72">
        <f t="shared" si="9"/>
        <v>15.200000000000012</v>
      </c>
      <c r="L46" s="72">
        <f t="shared" si="9"/>
        <v>0</v>
      </c>
      <c r="M46" s="72">
        <f t="shared" si="9"/>
        <v>0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3.6000000000000227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>
        <f t="shared" si="9"/>
        <v>0</v>
      </c>
      <c r="AF46" s="72"/>
      <c r="AG46" s="72">
        <f t="shared" si="1"/>
        <v>25.400000000000034</v>
      </c>
      <c r="AH46" s="72">
        <f>AH40-AH41-AH42-AH43-AH44-AH45</f>
        <v>50.80000000000052</v>
      </c>
      <c r="AJ46" s="21"/>
    </row>
    <row r="47" spans="1:36" s="18" customFormat="1" ht="17.25" customHeight="1">
      <c r="A47" s="96" t="s">
        <v>43</v>
      </c>
      <c r="B47" s="99">
        <f>8722.9+7.6-1900</f>
        <v>6830.5</v>
      </c>
      <c r="C47" s="97">
        <v>2101.7000000000016</v>
      </c>
      <c r="D47" s="72"/>
      <c r="E47" s="80"/>
      <c r="F47" s="80">
        <v>55.4</v>
      </c>
      <c r="G47" s="80">
        <v>2219.8</v>
      </c>
      <c r="H47" s="80">
        <v>21.1</v>
      </c>
      <c r="I47" s="80">
        <v>622.2</v>
      </c>
      <c r="J47" s="80">
        <v>60.7</v>
      </c>
      <c r="K47" s="80"/>
      <c r="L47" s="80"/>
      <c r="M47" s="80">
        <v>180.9</v>
      </c>
      <c r="N47" s="80">
        <v>79.2</v>
      </c>
      <c r="O47" s="80">
        <v>0.6</v>
      </c>
      <c r="P47" s="80">
        <v>1710.9</v>
      </c>
      <c r="Q47" s="80">
        <v>116.5</v>
      </c>
      <c r="R47" s="80">
        <v>38.5</v>
      </c>
      <c r="S47" s="80">
        <v>30.7</v>
      </c>
      <c r="T47" s="80">
        <v>610.3</v>
      </c>
      <c r="U47" s="80">
        <v>196.5</v>
      </c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72">
        <f t="shared" si="1"/>
        <v>5943.299999999999</v>
      </c>
      <c r="AH47" s="72">
        <f>B47+C47-AG47</f>
        <v>2988.9000000000015</v>
      </c>
      <c r="AJ47" s="21"/>
    </row>
    <row r="48" spans="1:36" s="18" customFormat="1" ht="15.75">
      <c r="A48" s="98" t="s">
        <v>5</v>
      </c>
      <c r="B48" s="97">
        <v>54.4</v>
      </c>
      <c r="C48" s="97">
        <v>97.40000000000003</v>
      </c>
      <c r="D48" s="72"/>
      <c r="E48" s="80"/>
      <c r="F48" s="80"/>
      <c r="G48" s="80"/>
      <c r="H48" s="80"/>
      <c r="I48" s="80"/>
      <c r="J48" s="80"/>
      <c r="K48" s="80"/>
      <c r="L48" s="80"/>
      <c r="M48" s="80">
        <v>27</v>
      </c>
      <c r="N48" s="80"/>
      <c r="O48" s="80"/>
      <c r="P48" s="80"/>
      <c r="Q48" s="80"/>
      <c r="R48" s="80"/>
      <c r="S48" s="80"/>
      <c r="T48" s="80"/>
      <c r="U48" s="80">
        <v>20.5</v>
      </c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72">
        <f t="shared" si="1"/>
        <v>47.5</v>
      </c>
      <c r="AH48" s="72">
        <f>B48+C48-AG48</f>
        <v>104.30000000000004</v>
      </c>
      <c r="AJ48" s="21"/>
    </row>
    <row r="49" spans="1:36" s="18" customFormat="1" ht="15.75">
      <c r="A49" s="98" t="s">
        <v>16</v>
      </c>
      <c r="B49" s="97">
        <f>7342.7+7.6-1900</f>
        <v>5450.3</v>
      </c>
      <c r="C49" s="97">
        <v>1267.5000000000027</v>
      </c>
      <c r="D49" s="72"/>
      <c r="E49" s="72"/>
      <c r="F49" s="72"/>
      <c r="G49" s="72">
        <v>2219.7</v>
      </c>
      <c r="H49" s="72"/>
      <c r="I49" s="72">
        <v>82.3</v>
      </c>
      <c r="J49" s="72">
        <f>9+44.4</f>
        <v>53.4</v>
      </c>
      <c r="K49" s="72"/>
      <c r="L49" s="72"/>
      <c r="M49" s="72">
        <v>153.9</v>
      </c>
      <c r="N49" s="72">
        <v>45.7</v>
      </c>
      <c r="O49" s="72"/>
      <c r="P49" s="72">
        <v>1710.9</v>
      </c>
      <c r="Q49" s="72">
        <v>42.2</v>
      </c>
      <c r="R49" s="72">
        <v>24.3</v>
      </c>
      <c r="S49" s="72">
        <f>12.9+4.5</f>
        <v>17.4</v>
      </c>
      <c r="T49" s="72">
        <v>70.5</v>
      </c>
      <c r="U49" s="72">
        <v>176</v>
      </c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>
        <f t="shared" si="1"/>
        <v>4596.299999999999</v>
      </c>
      <c r="AH49" s="72">
        <f>B49+C49-AG49</f>
        <v>2121.5000000000036</v>
      </c>
      <c r="AJ49" s="21"/>
    </row>
    <row r="50" spans="1:36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>
        <f t="shared" si="1"/>
        <v>0</v>
      </c>
      <c r="AH50" s="72">
        <f>B50+C50-AG50</f>
        <v>0</v>
      </c>
      <c r="AJ50" s="21"/>
    </row>
    <row r="51" spans="1:36" s="18" customFormat="1" ht="15.75">
      <c r="A51" s="107" t="s">
        <v>23</v>
      </c>
      <c r="B51" s="97">
        <f aca="true" t="shared" si="10" ref="B51:AE51">B47-B48-B49</f>
        <v>1325.8000000000002</v>
      </c>
      <c r="C51" s="97">
        <v>736.7999999999988</v>
      </c>
      <c r="D51" s="72">
        <f t="shared" si="10"/>
        <v>0</v>
      </c>
      <c r="E51" s="72">
        <f t="shared" si="10"/>
        <v>0</v>
      </c>
      <c r="F51" s="72">
        <f t="shared" si="10"/>
        <v>55.4</v>
      </c>
      <c r="G51" s="72">
        <f t="shared" si="10"/>
        <v>0.1000000000003638</v>
      </c>
      <c r="H51" s="72">
        <f>H47-H48-H49</f>
        <v>21.1</v>
      </c>
      <c r="I51" s="72">
        <f t="shared" si="10"/>
        <v>539.9000000000001</v>
      </c>
      <c r="J51" s="72">
        <f t="shared" si="10"/>
        <v>7.300000000000004</v>
      </c>
      <c r="K51" s="72">
        <f t="shared" si="10"/>
        <v>0</v>
      </c>
      <c r="L51" s="72">
        <f t="shared" si="10"/>
        <v>0</v>
      </c>
      <c r="M51" s="72">
        <f t="shared" si="10"/>
        <v>0</v>
      </c>
      <c r="N51" s="72">
        <f t="shared" si="10"/>
        <v>33.5</v>
      </c>
      <c r="O51" s="72">
        <f t="shared" si="10"/>
        <v>0.6</v>
      </c>
      <c r="P51" s="72">
        <f t="shared" si="10"/>
        <v>0</v>
      </c>
      <c r="Q51" s="72">
        <f t="shared" si="10"/>
        <v>74.3</v>
      </c>
      <c r="R51" s="72">
        <f t="shared" si="10"/>
        <v>14.2</v>
      </c>
      <c r="S51" s="72">
        <f t="shared" si="10"/>
        <v>13.3</v>
      </c>
      <c r="T51" s="72">
        <f t="shared" si="10"/>
        <v>539.8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>
        <f t="shared" si="10"/>
        <v>0</v>
      </c>
      <c r="AF51" s="72"/>
      <c r="AG51" s="72">
        <f t="shared" si="1"/>
        <v>1299.5000000000005</v>
      </c>
      <c r="AH51" s="72">
        <f>AH47-AH49-AH48</f>
        <v>763.0999999999977</v>
      </c>
      <c r="AJ51" s="21"/>
    </row>
    <row r="52" spans="1:36" s="18" customFormat="1" ht="15" customHeight="1">
      <c r="A52" s="96" t="s">
        <v>0</v>
      </c>
      <c r="B52" s="97">
        <f>9196.1-140-760+1174-895</f>
        <v>8575.1</v>
      </c>
      <c r="C52" s="97">
        <v>2021.4999999999964</v>
      </c>
      <c r="D52" s="72"/>
      <c r="E52" s="72"/>
      <c r="F52" s="72"/>
      <c r="G52" s="72">
        <v>2164.2</v>
      </c>
      <c r="H52" s="72">
        <v>954.8</v>
      </c>
      <c r="I52" s="72"/>
      <c r="J52" s="72"/>
      <c r="K52" s="72">
        <v>1228.8</v>
      </c>
      <c r="L52" s="72">
        <v>864.1</v>
      </c>
      <c r="M52" s="72">
        <v>150.9</v>
      </c>
      <c r="N52" s="72"/>
      <c r="O52" s="72"/>
      <c r="P52" s="72"/>
      <c r="Q52" s="72">
        <v>537.9</v>
      </c>
      <c r="R52" s="72">
        <v>202.2</v>
      </c>
      <c r="S52" s="72">
        <v>1664.5</v>
      </c>
      <c r="T52" s="72">
        <v>-161</v>
      </c>
      <c r="U52" s="72">
        <v>3.2</v>
      </c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>
        <f t="shared" si="1"/>
        <v>7609.599999999999</v>
      </c>
      <c r="AH52" s="72">
        <f aca="true" t="shared" si="11" ref="AH52:AH59">B52+C52-AG52</f>
        <v>2986.9999999999973</v>
      </c>
      <c r="AJ52" s="21"/>
    </row>
    <row r="53" spans="1:36" s="18" customFormat="1" ht="15" customHeight="1">
      <c r="A53" s="98" t="s">
        <v>2</v>
      </c>
      <c r="B53" s="97">
        <f>1042.3+60</f>
        <v>1102.3</v>
      </c>
      <c r="C53" s="97">
        <v>152.59999999999968</v>
      </c>
      <c r="D53" s="72"/>
      <c r="E53" s="72"/>
      <c r="F53" s="72"/>
      <c r="G53" s="72"/>
      <c r="H53" s="72">
        <v>907.4</v>
      </c>
      <c r="I53" s="72"/>
      <c r="J53" s="72"/>
      <c r="K53" s="72">
        <v>167.5</v>
      </c>
      <c r="L53" s="72"/>
      <c r="M53" s="72">
        <v>105.4</v>
      </c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>
        <f t="shared" si="1"/>
        <v>1180.3000000000002</v>
      </c>
      <c r="AH53" s="72">
        <f t="shared" si="11"/>
        <v>74.59999999999945</v>
      </c>
      <c r="AJ53" s="21"/>
    </row>
    <row r="54" spans="1:36" s="18" customFormat="1" ht="15" customHeight="1">
      <c r="A54" s="96" t="s">
        <v>9</v>
      </c>
      <c r="B54" s="105">
        <v>1962.1</v>
      </c>
      <c r="C54" s="97">
        <v>1210.5</v>
      </c>
      <c r="D54" s="72"/>
      <c r="E54" s="72"/>
      <c r="F54" s="72">
        <v>185.8</v>
      </c>
      <c r="G54" s="72"/>
      <c r="H54" s="72">
        <v>299.1</v>
      </c>
      <c r="I54" s="72"/>
      <c r="J54" s="72"/>
      <c r="K54" s="72"/>
      <c r="L54" s="72"/>
      <c r="M54" s="72">
        <f>484.9</f>
        <v>484.9</v>
      </c>
      <c r="N54" s="72"/>
      <c r="O54" s="72">
        <v>0.1</v>
      </c>
      <c r="P54" s="72">
        <v>137</v>
      </c>
      <c r="Q54" s="72">
        <v>69.6</v>
      </c>
      <c r="R54" s="72"/>
      <c r="S54" s="72">
        <v>800.9</v>
      </c>
      <c r="T54" s="72">
        <v>7.9</v>
      </c>
      <c r="U54" s="72">
        <v>19.1</v>
      </c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>
        <f t="shared" si="1"/>
        <v>2004.4</v>
      </c>
      <c r="AH54" s="72">
        <f t="shared" si="11"/>
        <v>1168.1999999999998</v>
      </c>
      <c r="AI54" s="21"/>
      <c r="AJ54" s="21"/>
    </row>
    <row r="55" spans="1:36" s="18" customFormat="1" ht="15.75">
      <c r="A55" s="98" t="s">
        <v>5</v>
      </c>
      <c r="B55" s="97">
        <f>1314.5-1.8</f>
        <v>1312.7</v>
      </c>
      <c r="C55" s="97">
        <v>223.39999999999986</v>
      </c>
      <c r="D55" s="72"/>
      <c r="E55" s="72"/>
      <c r="F55" s="72"/>
      <c r="G55" s="72"/>
      <c r="H55" s="72">
        <v>100.6</v>
      </c>
      <c r="I55" s="72"/>
      <c r="J55" s="72"/>
      <c r="K55" s="72"/>
      <c r="L55" s="72"/>
      <c r="M55" s="72">
        <f>396.6-0.2</f>
        <v>396.40000000000003</v>
      </c>
      <c r="N55" s="72"/>
      <c r="O55" s="72"/>
      <c r="P55" s="72"/>
      <c r="Q55" s="72">
        <v>1.8</v>
      </c>
      <c r="R55" s="72"/>
      <c r="S55" s="72">
        <v>800.9</v>
      </c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>
        <f t="shared" si="1"/>
        <v>1299.7</v>
      </c>
      <c r="AH55" s="72">
        <f t="shared" si="11"/>
        <v>236.39999999999986</v>
      </c>
      <c r="AI55" s="21"/>
      <c r="AJ55" s="21"/>
    </row>
    <row r="56" spans="1:36" s="18" customFormat="1" ht="15" customHeight="1">
      <c r="A56" s="98" t="s">
        <v>1</v>
      </c>
      <c r="B56" s="97">
        <v>0</v>
      </c>
      <c r="C56" s="97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>
        <f t="shared" si="1"/>
        <v>0</v>
      </c>
      <c r="AH56" s="72">
        <f t="shared" si="11"/>
        <v>0</v>
      </c>
      <c r="AI56" s="21"/>
      <c r="AJ56" s="21"/>
    </row>
    <row r="57" spans="1:36" s="18" customFormat="1" ht="15.75">
      <c r="A57" s="98" t="s">
        <v>2</v>
      </c>
      <c r="B57" s="99">
        <f>18.3+1.8+0.3</f>
        <v>20.400000000000002</v>
      </c>
      <c r="C57" s="97">
        <v>239.19999999999993</v>
      </c>
      <c r="D57" s="72"/>
      <c r="E57" s="72"/>
      <c r="F57" s="72"/>
      <c r="G57" s="72"/>
      <c r="H57" s="72"/>
      <c r="I57" s="72"/>
      <c r="J57" s="72"/>
      <c r="K57" s="72"/>
      <c r="L57" s="72"/>
      <c r="M57" s="72">
        <v>70</v>
      </c>
      <c r="N57" s="72"/>
      <c r="O57" s="72">
        <v>0.1</v>
      </c>
      <c r="P57" s="72"/>
      <c r="Q57" s="72"/>
      <c r="R57" s="72"/>
      <c r="S57" s="72"/>
      <c r="T57" s="72">
        <v>0.7</v>
      </c>
      <c r="U57" s="72">
        <v>1.9</v>
      </c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>
        <f t="shared" si="1"/>
        <v>72.7</v>
      </c>
      <c r="AH57" s="72">
        <f t="shared" si="11"/>
        <v>186.89999999999992</v>
      </c>
      <c r="AJ57" s="21"/>
    </row>
    <row r="58" spans="1:36" s="18" customFormat="1" ht="15.75">
      <c r="A58" s="98" t="s">
        <v>16</v>
      </c>
      <c r="B58" s="99">
        <v>7</v>
      </c>
      <c r="C58" s="97">
        <v>55.49999999999999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>
        <v>8.7</v>
      </c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>
        <f t="shared" si="1"/>
        <v>8.7</v>
      </c>
      <c r="AH58" s="72">
        <f t="shared" si="11"/>
        <v>53.8</v>
      </c>
      <c r="AJ58" s="21"/>
    </row>
    <row r="59" spans="1:36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>
        <f t="shared" si="1"/>
        <v>0</v>
      </c>
      <c r="AH59" s="72">
        <f t="shared" si="11"/>
        <v>0</v>
      </c>
      <c r="AJ59" s="21"/>
    </row>
    <row r="60" spans="1:36" s="18" customFormat="1" ht="15.75">
      <c r="A60" s="98" t="s">
        <v>23</v>
      </c>
      <c r="B60" s="97">
        <f aca="true" t="shared" si="12" ref="B60:AE60">B54-B55-B57-B59-B56-B58</f>
        <v>621.9999999999999</v>
      </c>
      <c r="C60" s="97">
        <v>692.4000000000002</v>
      </c>
      <c r="D60" s="72">
        <f t="shared" si="12"/>
        <v>0</v>
      </c>
      <c r="E60" s="72">
        <f t="shared" si="12"/>
        <v>0</v>
      </c>
      <c r="F60" s="72">
        <f t="shared" si="12"/>
        <v>185.8</v>
      </c>
      <c r="G60" s="72">
        <f t="shared" si="12"/>
        <v>0</v>
      </c>
      <c r="H60" s="72">
        <f>H54-H55-H57-H59-H56-H58</f>
        <v>198.50000000000003</v>
      </c>
      <c r="I60" s="72">
        <f t="shared" si="12"/>
        <v>0</v>
      </c>
      <c r="J60" s="72">
        <f t="shared" si="12"/>
        <v>0</v>
      </c>
      <c r="K60" s="72">
        <f t="shared" si="12"/>
        <v>0</v>
      </c>
      <c r="L60" s="72">
        <f t="shared" si="12"/>
        <v>0</v>
      </c>
      <c r="M60" s="72">
        <f t="shared" si="12"/>
        <v>18.499999999999943</v>
      </c>
      <c r="N60" s="72">
        <f t="shared" si="12"/>
        <v>0</v>
      </c>
      <c r="O60" s="72">
        <f t="shared" si="12"/>
        <v>0</v>
      </c>
      <c r="P60" s="72">
        <f t="shared" si="12"/>
        <v>137</v>
      </c>
      <c r="Q60" s="72">
        <f t="shared" si="12"/>
        <v>59.099999999999994</v>
      </c>
      <c r="R60" s="72">
        <f t="shared" si="12"/>
        <v>0</v>
      </c>
      <c r="S60" s="72">
        <f t="shared" si="12"/>
        <v>0</v>
      </c>
      <c r="T60" s="72">
        <f t="shared" si="12"/>
        <v>7.2</v>
      </c>
      <c r="U60" s="72">
        <f t="shared" si="12"/>
        <v>17.200000000000003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>
        <f t="shared" si="12"/>
        <v>0</v>
      </c>
      <c r="AF60" s="72"/>
      <c r="AG60" s="72">
        <f>AG54-AG55-AG57-AG59-AG56-AG58</f>
        <v>623.3</v>
      </c>
      <c r="AH60" s="72">
        <f>AH54-AH55-AH57-AH59-AH56-AH58</f>
        <v>691.1000000000001</v>
      </c>
      <c r="AJ60" s="21"/>
    </row>
    <row r="61" spans="1:36" s="18" customFormat="1" ht="15" customHeight="1">
      <c r="A61" s="96" t="s">
        <v>10</v>
      </c>
      <c r="B61" s="97">
        <v>89</v>
      </c>
      <c r="C61" s="97">
        <v>33.69999999999999</v>
      </c>
      <c r="D61" s="72"/>
      <c r="E61" s="72"/>
      <c r="F61" s="72"/>
      <c r="G61" s="72">
        <v>16.2</v>
      </c>
      <c r="H61" s="72"/>
      <c r="I61" s="72">
        <v>27.7</v>
      </c>
      <c r="J61" s="72">
        <v>2</v>
      </c>
      <c r="K61" s="72">
        <v>2</v>
      </c>
      <c r="L61" s="72"/>
      <c r="M61" s="72"/>
      <c r="N61" s="72">
        <v>2</v>
      </c>
      <c r="O61" s="72"/>
      <c r="P61" s="72"/>
      <c r="Q61" s="72"/>
      <c r="R61" s="72">
        <v>5.5</v>
      </c>
      <c r="S61" s="72"/>
      <c r="T61" s="72">
        <v>4</v>
      </c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>
        <f aca="true" t="shared" si="13" ref="AG61:AG92">SUM(D61:AE61)</f>
        <v>59.4</v>
      </c>
      <c r="AH61" s="72">
        <f aca="true" t="shared" si="14" ref="AH61:AH67">B61+C61-AG61</f>
        <v>63.29999999999999</v>
      </c>
      <c r="AJ61" s="21"/>
    </row>
    <row r="62" spans="1:36" s="18" customFormat="1" ht="15" customHeight="1">
      <c r="A62" s="96" t="s">
        <v>11</v>
      </c>
      <c r="B62" s="97">
        <f>5271.3-917.2</f>
        <v>4354.1</v>
      </c>
      <c r="C62" s="97">
        <v>5557</v>
      </c>
      <c r="D62" s="72"/>
      <c r="E62" s="72">
        <v>7.4</v>
      </c>
      <c r="F62" s="72"/>
      <c r="G62" s="72">
        <v>82.9</v>
      </c>
      <c r="H62" s="72"/>
      <c r="I62" s="72"/>
      <c r="J62" s="72"/>
      <c r="K62" s="72">
        <v>1256.8</v>
      </c>
      <c r="L62" s="72">
        <v>170.3</v>
      </c>
      <c r="M62" s="72"/>
      <c r="N62" s="72">
        <v>0.1</v>
      </c>
      <c r="O62" s="72"/>
      <c r="P62" s="72"/>
      <c r="Q62" s="72">
        <v>371.9</v>
      </c>
      <c r="R62" s="72"/>
      <c r="S62" s="72">
        <v>2726.2</v>
      </c>
      <c r="T62" s="72">
        <v>63</v>
      </c>
      <c r="U62" s="72">
        <v>78.1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>
        <f t="shared" si="13"/>
        <v>4756.7</v>
      </c>
      <c r="AH62" s="72">
        <f t="shared" si="14"/>
        <v>5154.400000000001</v>
      </c>
      <c r="AJ62" s="21"/>
    </row>
    <row r="63" spans="1:36" s="18" customFormat="1" ht="15.75">
      <c r="A63" s="98" t="s">
        <v>5</v>
      </c>
      <c r="B63" s="97">
        <f>2779.2-4.5</f>
        <v>2774.7</v>
      </c>
      <c r="C63" s="97">
        <v>1372</v>
      </c>
      <c r="D63" s="72"/>
      <c r="E63" s="72">
        <v>7.4</v>
      </c>
      <c r="F63" s="72"/>
      <c r="G63" s="72"/>
      <c r="H63" s="72"/>
      <c r="I63" s="72"/>
      <c r="J63" s="72"/>
      <c r="K63" s="72">
        <f>1036.6-0.2</f>
        <v>1036.3999999999999</v>
      </c>
      <c r="L63" s="72"/>
      <c r="M63" s="72"/>
      <c r="N63" s="72"/>
      <c r="O63" s="72"/>
      <c r="P63" s="72"/>
      <c r="Q63" s="72"/>
      <c r="R63" s="72"/>
      <c r="S63" s="72">
        <v>2347.5</v>
      </c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>
        <f t="shared" si="13"/>
        <v>3391.3</v>
      </c>
      <c r="AH63" s="72">
        <f t="shared" si="14"/>
        <v>755.3999999999996</v>
      </c>
      <c r="AI63" s="108"/>
      <c r="AJ63" s="21"/>
    </row>
    <row r="64" spans="1:36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>
        <f t="shared" si="13"/>
        <v>0</v>
      </c>
      <c r="AH64" s="72">
        <f t="shared" si="14"/>
        <v>0</v>
      </c>
      <c r="AI64" s="21"/>
      <c r="AJ64" s="21"/>
    </row>
    <row r="65" spans="1:36" s="18" customFormat="1" ht="15.75">
      <c r="A65" s="98" t="s">
        <v>1</v>
      </c>
      <c r="B65" s="97">
        <v>288.9</v>
      </c>
      <c r="C65" s="97">
        <v>605.3000000000001</v>
      </c>
      <c r="D65" s="72"/>
      <c r="E65" s="72"/>
      <c r="F65" s="72"/>
      <c r="G65" s="72">
        <f>43.7+0.4</f>
        <v>44.1</v>
      </c>
      <c r="H65" s="72"/>
      <c r="I65" s="72"/>
      <c r="J65" s="72"/>
      <c r="K65" s="72">
        <v>5.9</v>
      </c>
      <c r="L65" s="72"/>
      <c r="M65" s="72"/>
      <c r="N65" s="72"/>
      <c r="O65" s="72"/>
      <c r="P65" s="72"/>
      <c r="Q65" s="72">
        <v>35.5</v>
      </c>
      <c r="R65" s="72"/>
      <c r="S65" s="72">
        <v>6.2</v>
      </c>
      <c r="T65" s="72"/>
      <c r="U65" s="72">
        <v>57</v>
      </c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>
        <f t="shared" si="13"/>
        <v>148.7</v>
      </c>
      <c r="AH65" s="72">
        <f t="shared" si="14"/>
        <v>745.5</v>
      </c>
      <c r="AI65" s="21"/>
      <c r="AJ65" s="21"/>
    </row>
    <row r="66" spans="1:36" s="18" customFormat="1" ht="15.75">
      <c r="A66" s="98" t="s">
        <v>2</v>
      </c>
      <c r="B66" s="97">
        <f>32.5+4.5</f>
        <v>37</v>
      </c>
      <c r="C66" s="97">
        <v>98.89999999999999</v>
      </c>
      <c r="D66" s="72"/>
      <c r="E66" s="72"/>
      <c r="F66" s="72"/>
      <c r="G66" s="72">
        <v>14.3</v>
      </c>
      <c r="H66" s="72"/>
      <c r="I66" s="72"/>
      <c r="J66" s="72"/>
      <c r="K66" s="72">
        <v>2.9</v>
      </c>
      <c r="L66" s="72">
        <v>3.7</v>
      </c>
      <c r="M66" s="72"/>
      <c r="N66" s="72">
        <v>0.1</v>
      </c>
      <c r="O66" s="72"/>
      <c r="P66" s="72"/>
      <c r="Q66" s="72">
        <v>2.9</v>
      </c>
      <c r="R66" s="72"/>
      <c r="S66" s="72"/>
      <c r="T66" s="72"/>
      <c r="U66" s="72">
        <v>7.3</v>
      </c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>
        <f t="shared" si="13"/>
        <v>31.2</v>
      </c>
      <c r="AH66" s="72">
        <f t="shared" si="14"/>
        <v>104.69999999999997</v>
      </c>
      <c r="AJ66" s="21"/>
    </row>
    <row r="67" spans="1:36" s="18" customFormat="1" ht="15.75">
      <c r="A67" s="98" t="s">
        <v>16</v>
      </c>
      <c r="B67" s="97">
        <f>308-60.3</f>
        <v>247.7</v>
      </c>
      <c r="C67" s="97">
        <v>565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>
        <v>245</v>
      </c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>
        <f t="shared" si="13"/>
        <v>245</v>
      </c>
      <c r="AH67" s="72">
        <f t="shared" si="14"/>
        <v>567.7</v>
      </c>
      <c r="AJ67" s="21"/>
    </row>
    <row r="68" spans="1:36" s="18" customFormat="1" ht="15.75">
      <c r="A68" s="98" t="s">
        <v>23</v>
      </c>
      <c r="B68" s="97">
        <f aca="true" t="shared" si="15" ref="B68:AE68">B62-B63-B66-B67-B65-B64</f>
        <v>1005.8000000000005</v>
      </c>
      <c r="C68" s="97">
        <v>2915.7999999999997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24.500000000000007</v>
      </c>
      <c r="H68" s="72">
        <f>H62-H63-H66-H67-H65-H64</f>
        <v>0</v>
      </c>
      <c r="I68" s="72">
        <f t="shared" si="15"/>
        <v>0</v>
      </c>
      <c r="J68" s="72">
        <f t="shared" si="15"/>
        <v>0</v>
      </c>
      <c r="K68" s="72">
        <f t="shared" si="15"/>
        <v>211.60000000000008</v>
      </c>
      <c r="L68" s="72">
        <f t="shared" si="15"/>
        <v>166.60000000000002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0</v>
      </c>
      <c r="Q68" s="72">
        <f t="shared" si="15"/>
        <v>88.5</v>
      </c>
      <c r="R68" s="72">
        <f t="shared" si="15"/>
        <v>0</v>
      </c>
      <c r="S68" s="72">
        <f t="shared" si="15"/>
        <v>372.49999999999983</v>
      </c>
      <c r="T68" s="72">
        <f t="shared" si="15"/>
        <v>63</v>
      </c>
      <c r="U68" s="72">
        <f t="shared" si="15"/>
        <v>13.799999999999997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>
        <f t="shared" si="15"/>
        <v>0</v>
      </c>
      <c r="AF68" s="72"/>
      <c r="AG68" s="72">
        <f t="shared" si="13"/>
        <v>940.4999999999999</v>
      </c>
      <c r="AH68" s="72">
        <f>AH62-AH63-AH66-AH67-AH65-AH64</f>
        <v>2981.1000000000013</v>
      </c>
      <c r="AJ68" s="21"/>
    </row>
    <row r="69" spans="1:36" s="18" customFormat="1" ht="31.5">
      <c r="A69" s="96" t="s">
        <v>45</v>
      </c>
      <c r="B69" s="97">
        <v>1785</v>
      </c>
      <c r="C69" s="97">
        <v>1.7000000000000455</v>
      </c>
      <c r="D69" s="72"/>
      <c r="E69" s="72"/>
      <c r="F69" s="72"/>
      <c r="G69" s="72">
        <v>988.1</v>
      </c>
      <c r="H69" s="72"/>
      <c r="I69" s="72"/>
      <c r="J69" s="72"/>
      <c r="K69" s="72"/>
      <c r="L69" s="72"/>
      <c r="M69" s="72"/>
      <c r="N69" s="72"/>
      <c r="O69" s="72"/>
      <c r="P69" s="72">
        <v>754.9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>
        <f t="shared" si="13"/>
        <v>1743</v>
      </c>
      <c r="AH69" s="89">
        <f aca="true" t="shared" si="16" ref="AH69:AH92">B69+C69-AG69</f>
        <v>43.700000000000045</v>
      </c>
      <c r="AJ69" s="21"/>
    </row>
    <row r="70" spans="1:36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>
        <f t="shared" si="13"/>
        <v>0</v>
      </c>
      <c r="AH70" s="89">
        <f t="shared" si="16"/>
        <v>0</v>
      </c>
      <c r="AJ70" s="21"/>
    </row>
    <row r="71" spans="1:51" s="18" customFormat="1" ht="31.5">
      <c r="A71" s="96" t="s">
        <v>46</v>
      </c>
      <c r="B71" s="97">
        <f>2436.5-200</f>
        <v>2236.5</v>
      </c>
      <c r="C71" s="109">
        <v>232.9000000000001</v>
      </c>
      <c r="D71" s="80"/>
      <c r="E71" s="80"/>
      <c r="F71" s="80"/>
      <c r="G71" s="80">
        <v>1510.5</v>
      </c>
      <c r="H71" s="80"/>
      <c r="I71" s="80"/>
      <c r="J71" s="80">
        <v>423.8</v>
      </c>
      <c r="K71" s="80"/>
      <c r="L71" s="80"/>
      <c r="M71" s="80"/>
      <c r="N71" s="80"/>
      <c r="O71" s="80"/>
      <c r="P71" s="80"/>
      <c r="Q71" s="80"/>
      <c r="R71" s="80"/>
      <c r="S71" s="80">
        <v>77.7</v>
      </c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72">
        <f t="shared" si="13"/>
        <v>2012</v>
      </c>
      <c r="AH71" s="89">
        <f t="shared" si="16"/>
        <v>457.4000000000001</v>
      </c>
      <c r="AI71" s="110"/>
      <c r="AJ71" s="21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</row>
    <row r="72" spans="1:36" s="18" customFormat="1" ht="15" customHeight="1">
      <c r="A72" s="96" t="s">
        <v>47</v>
      </c>
      <c r="B72" s="105">
        <f>1504.3-43.5</f>
        <v>1460.8</v>
      </c>
      <c r="C72" s="97">
        <v>2201.5</v>
      </c>
      <c r="D72" s="72"/>
      <c r="E72" s="72"/>
      <c r="F72" s="72">
        <v>145.2</v>
      </c>
      <c r="G72" s="72">
        <f>1.4+5.3+1.1</f>
        <v>7.799999999999999</v>
      </c>
      <c r="H72" s="72">
        <v>44.7</v>
      </c>
      <c r="I72" s="72">
        <v>1.23462</v>
      </c>
      <c r="J72" s="72">
        <v>63.6</v>
      </c>
      <c r="K72" s="72">
        <f>247.7-92.9</f>
        <v>154.79999999999998</v>
      </c>
      <c r="L72" s="72">
        <v>0.7</v>
      </c>
      <c r="M72" s="72"/>
      <c r="N72" s="72">
        <f>7.2+13</f>
        <v>20.2</v>
      </c>
      <c r="O72" s="72">
        <v>17.4</v>
      </c>
      <c r="P72" s="72">
        <v>26.3</v>
      </c>
      <c r="Q72" s="72"/>
      <c r="R72" s="72">
        <v>161.6</v>
      </c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>
        <f t="shared" si="13"/>
        <v>643.5346199999999</v>
      </c>
      <c r="AH72" s="89">
        <f t="shared" si="16"/>
        <v>3018.7653800000003</v>
      </c>
      <c r="AJ72" s="21"/>
    </row>
    <row r="73" spans="1:36" s="18" customFormat="1" ht="15" customHeight="1">
      <c r="A73" s="98" t="s">
        <v>5</v>
      </c>
      <c r="B73" s="97">
        <v>0</v>
      </c>
      <c r="C73" s="97">
        <v>0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>
        <f t="shared" si="13"/>
        <v>0</v>
      </c>
      <c r="AH73" s="89">
        <f t="shared" si="16"/>
        <v>0</v>
      </c>
      <c r="AJ73" s="21"/>
    </row>
    <row r="74" spans="1:36" s="18" customFormat="1" ht="15" customHeight="1">
      <c r="A74" s="98" t="s">
        <v>2</v>
      </c>
      <c r="B74" s="97">
        <f>31+88</f>
        <v>119</v>
      </c>
      <c r="C74" s="97">
        <v>530</v>
      </c>
      <c r="D74" s="72"/>
      <c r="E74" s="72"/>
      <c r="F74" s="72">
        <v>35.5</v>
      </c>
      <c r="G74" s="72"/>
      <c r="H74" s="72">
        <v>14.8</v>
      </c>
      <c r="I74" s="72">
        <v>1.23462</v>
      </c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>
        <f t="shared" si="13"/>
        <v>51.53462</v>
      </c>
      <c r="AH74" s="89">
        <f t="shared" si="16"/>
        <v>597.46538</v>
      </c>
      <c r="AJ74" s="21"/>
    </row>
    <row r="75" spans="1:36" s="18" customFormat="1" ht="15" customHeight="1">
      <c r="A75" s="98" t="s">
        <v>16</v>
      </c>
      <c r="B75" s="97">
        <f>15+65.6+0.7</f>
        <v>81.3</v>
      </c>
      <c r="C75" s="97">
        <v>50.4</v>
      </c>
      <c r="D75" s="72"/>
      <c r="E75" s="72"/>
      <c r="F75" s="72"/>
      <c r="G75" s="72"/>
      <c r="H75" s="72"/>
      <c r="I75" s="72"/>
      <c r="J75" s="72">
        <v>1.3</v>
      </c>
      <c r="K75" s="72"/>
      <c r="L75" s="72">
        <v>0.7</v>
      </c>
      <c r="M75" s="72"/>
      <c r="N75" s="72"/>
      <c r="O75" s="72">
        <v>0.4</v>
      </c>
      <c r="P75" s="72"/>
      <c r="Q75" s="72"/>
      <c r="R75" s="72">
        <v>7.7</v>
      </c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>
        <f t="shared" si="13"/>
        <v>10.1</v>
      </c>
      <c r="AH75" s="89">
        <f t="shared" si="16"/>
        <v>121.6</v>
      </c>
      <c r="AJ75" s="21"/>
    </row>
    <row r="76" spans="1:36" s="112" customFormat="1" ht="15.75">
      <c r="A76" s="111" t="s">
        <v>48</v>
      </c>
      <c r="B76" s="97">
        <f>86+254.4</f>
        <v>340.4</v>
      </c>
      <c r="C76" s="97">
        <v>33.69999999999999</v>
      </c>
      <c r="D76" s="72"/>
      <c r="E76" s="80"/>
      <c r="F76" s="80"/>
      <c r="G76" s="80"/>
      <c r="H76" s="80"/>
      <c r="I76" s="80"/>
      <c r="J76" s="80"/>
      <c r="K76" s="80">
        <v>92.9</v>
      </c>
      <c r="L76" s="80"/>
      <c r="M76" s="80"/>
      <c r="N76" s="80">
        <v>54.4</v>
      </c>
      <c r="O76" s="80">
        <v>15.9</v>
      </c>
      <c r="P76" s="80"/>
      <c r="Q76" s="80"/>
      <c r="R76" s="80"/>
      <c r="S76" s="80">
        <v>167.1</v>
      </c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72">
        <f t="shared" si="13"/>
        <v>330.3</v>
      </c>
      <c r="AH76" s="89">
        <f t="shared" si="16"/>
        <v>43.799999999999955</v>
      </c>
      <c r="AJ76" s="21"/>
    </row>
    <row r="77" spans="1:36" s="112" customFormat="1" ht="15.75">
      <c r="A77" s="98" t="s">
        <v>5</v>
      </c>
      <c r="B77" s="97">
        <v>207.4</v>
      </c>
      <c r="C77" s="97">
        <v>7.899999999999977</v>
      </c>
      <c r="D77" s="72"/>
      <c r="E77" s="80"/>
      <c r="F77" s="80"/>
      <c r="G77" s="80"/>
      <c r="H77" s="80"/>
      <c r="I77" s="80"/>
      <c r="J77" s="80"/>
      <c r="K77" s="80">
        <v>83.7</v>
      </c>
      <c r="L77" s="80"/>
      <c r="M77" s="80"/>
      <c r="N77" s="80"/>
      <c r="O77" s="80"/>
      <c r="P77" s="80"/>
      <c r="Q77" s="80"/>
      <c r="R77" s="80"/>
      <c r="S77" s="80">
        <v>114.7</v>
      </c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72">
        <f t="shared" si="13"/>
        <v>198.4</v>
      </c>
      <c r="AH77" s="89">
        <f t="shared" si="16"/>
        <v>16.899999999999977</v>
      </c>
      <c r="AJ77" s="21"/>
    </row>
    <row r="78" spans="1:36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72">
        <f t="shared" si="13"/>
        <v>0</v>
      </c>
      <c r="AH78" s="89">
        <f t="shared" si="16"/>
        <v>0</v>
      </c>
      <c r="AJ78" s="21"/>
    </row>
    <row r="79" spans="1:36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72">
        <f t="shared" si="13"/>
        <v>0</v>
      </c>
      <c r="AH79" s="89">
        <f t="shared" si="16"/>
        <v>0</v>
      </c>
      <c r="AJ79" s="21"/>
    </row>
    <row r="80" spans="1:36" s="112" customFormat="1" ht="15.75">
      <c r="A80" s="98" t="s">
        <v>2</v>
      </c>
      <c r="B80" s="97">
        <v>0.6</v>
      </c>
      <c r="C80" s="97">
        <v>2.4000000000000012</v>
      </c>
      <c r="D80" s="72"/>
      <c r="E80" s="80"/>
      <c r="F80" s="80"/>
      <c r="G80" s="80"/>
      <c r="H80" s="80"/>
      <c r="I80" s="80"/>
      <c r="J80" s="80"/>
      <c r="K80" s="80">
        <v>1</v>
      </c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72">
        <f t="shared" si="13"/>
        <v>1</v>
      </c>
      <c r="AH80" s="89">
        <f t="shared" si="16"/>
        <v>2.0000000000000013</v>
      </c>
      <c r="AJ80" s="21"/>
    </row>
    <row r="81" spans="1:36" s="112" customFormat="1" ht="15.75">
      <c r="A81" s="111" t="s">
        <v>49</v>
      </c>
      <c r="B81" s="97">
        <v>25.8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>
        <v>25.8</v>
      </c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72">
        <f t="shared" si="13"/>
        <v>25.8</v>
      </c>
      <c r="AH81" s="89">
        <f t="shared" si="16"/>
        <v>0</v>
      </c>
      <c r="AJ81" s="21"/>
    </row>
    <row r="82" spans="1:36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72">
        <f t="shared" si="13"/>
        <v>0</v>
      </c>
      <c r="AH82" s="89">
        <f t="shared" si="16"/>
        <v>0</v>
      </c>
      <c r="AJ82" s="21"/>
    </row>
    <row r="83" spans="1:36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72">
        <f t="shared" si="13"/>
        <v>0</v>
      </c>
      <c r="AH83" s="72">
        <f t="shared" si="16"/>
        <v>0</v>
      </c>
      <c r="AJ83" s="21"/>
    </row>
    <row r="84" spans="1:36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72">
        <f t="shared" si="13"/>
        <v>0</v>
      </c>
      <c r="AH84" s="72">
        <f t="shared" si="16"/>
        <v>0</v>
      </c>
      <c r="AJ84" s="21"/>
    </row>
    <row r="85" spans="1:36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72">
        <f t="shared" si="13"/>
        <v>0</v>
      </c>
      <c r="AH85" s="72">
        <f t="shared" si="16"/>
        <v>0</v>
      </c>
      <c r="AJ85" s="21"/>
    </row>
    <row r="86" spans="1:36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72">
        <f t="shared" si="13"/>
        <v>0</v>
      </c>
      <c r="AH86" s="72">
        <f t="shared" si="16"/>
        <v>0</v>
      </c>
      <c r="AJ86" s="21"/>
    </row>
    <row r="87" spans="1:36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72">
        <f t="shared" si="13"/>
        <v>0</v>
      </c>
      <c r="AH87" s="72">
        <f t="shared" si="16"/>
        <v>0</v>
      </c>
      <c r="AJ87" s="21"/>
    </row>
    <row r="88" spans="1:36" s="18" customFormat="1" ht="15.75">
      <c r="A88" s="96" t="s">
        <v>58</v>
      </c>
      <c r="B88" s="97">
        <v>0</v>
      </c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>
        <f t="shared" si="13"/>
        <v>0</v>
      </c>
      <c r="AH88" s="72">
        <f t="shared" si="16"/>
        <v>0</v>
      </c>
      <c r="AI88" s="112"/>
      <c r="AJ88" s="21"/>
    </row>
    <row r="89" spans="1:36" s="18" customFormat="1" ht="15.75">
      <c r="A89" s="96" t="s">
        <v>50</v>
      </c>
      <c r="B89" s="97">
        <f>9332.9+960+3726+895</f>
        <v>14913.9</v>
      </c>
      <c r="C89" s="97">
        <v>1335.3000000000102</v>
      </c>
      <c r="D89" s="72"/>
      <c r="E89" s="72"/>
      <c r="F89" s="72"/>
      <c r="G89" s="72">
        <v>1565.1</v>
      </c>
      <c r="H89" s="72">
        <v>3028</v>
      </c>
      <c r="I89" s="72">
        <v>858.1</v>
      </c>
      <c r="J89" s="72"/>
      <c r="K89" s="72">
        <v>427.6</v>
      </c>
      <c r="L89" s="72"/>
      <c r="M89" s="72"/>
      <c r="N89" s="72"/>
      <c r="O89" s="72">
        <v>997.7</v>
      </c>
      <c r="P89" s="72">
        <v>2068.4</v>
      </c>
      <c r="Q89" s="72">
        <v>886.3</v>
      </c>
      <c r="R89" s="72">
        <v>1119.7</v>
      </c>
      <c r="S89" s="72">
        <v>4088.5</v>
      </c>
      <c r="T89" s="72"/>
      <c r="U89" s="72">
        <v>381.3</v>
      </c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>
        <f t="shared" si="13"/>
        <v>15420.7</v>
      </c>
      <c r="AH89" s="72">
        <f t="shared" si="16"/>
        <v>828.5000000000091</v>
      </c>
      <c r="AI89" s="112"/>
      <c r="AJ89" s="21"/>
    </row>
    <row r="90" spans="1:36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/>
      <c r="I90" s="72"/>
      <c r="J90" s="72">
        <v>1886.8</v>
      </c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>
        <v>1886.8</v>
      </c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>
        <f t="shared" si="13"/>
        <v>5660.4</v>
      </c>
      <c r="AH90" s="72">
        <f t="shared" si="16"/>
        <v>0</v>
      </c>
      <c r="AI90" s="112"/>
      <c r="AJ90" s="21"/>
    </row>
    <row r="91" spans="1:36" s="18" customFormat="1" ht="15.75">
      <c r="A91" s="96" t="s">
        <v>25</v>
      </c>
      <c r="B91" s="97">
        <v>0</v>
      </c>
      <c r="C91" s="97">
        <v>65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>
        <f t="shared" si="13"/>
        <v>0</v>
      </c>
      <c r="AH91" s="72">
        <f t="shared" si="16"/>
        <v>65</v>
      </c>
      <c r="AI91" s="112"/>
      <c r="AJ91" s="21"/>
    </row>
    <row r="92" spans="1:35" s="18" customFormat="1" ht="15.75">
      <c r="A92" s="96" t="s">
        <v>37</v>
      </c>
      <c r="B92" s="97">
        <f>61+6554+376.8</f>
        <v>6991.8</v>
      </c>
      <c r="C92" s="97">
        <v>11.7</v>
      </c>
      <c r="D92" s="72"/>
      <c r="E92" s="72"/>
      <c r="F92" s="72"/>
      <c r="G92" s="72"/>
      <c r="H92" s="72"/>
      <c r="I92" s="72"/>
      <c r="J92" s="72">
        <v>6615</v>
      </c>
      <c r="K92" s="72"/>
      <c r="L92" s="72"/>
      <c r="M92" s="72"/>
      <c r="N92" s="72"/>
      <c r="O92" s="72">
        <v>376.8</v>
      </c>
      <c r="P92" s="72"/>
      <c r="Q92" s="72"/>
      <c r="R92" s="72"/>
      <c r="S92" s="72"/>
      <c r="T92" s="72">
        <v>-14608.8</v>
      </c>
      <c r="U92" s="72"/>
      <c r="V92" s="72">
        <v>14620.5</v>
      </c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>
        <f t="shared" si="13"/>
        <v>7003.500000000001</v>
      </c>
      <c r="AH92" s="72">
        <f t="shared" si="16"/>
        <v>0</v>
      </c>
      <c r="AI92" s="115"/>
    </row>
    <row r="93" spans="1:34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</row>
    <row r="94" spans="1:34" s="134" customFormat="1" ht="15.75">
      <c r="A94" s="135" t="s">
        <v>27</v>
      </c>
      <c r="B94" s="136">
        <f aca="true" t="shared" si="17" ref="B94:Z94">B10+B15+B24+B33+B47+B52+B54+B61+B62+B69+B71+B72+B76+B81+B82+B83+B88+B89+B90+B91+B40+B92+B70</f>
        <v>219183.89999999997</v>
      </c>
      <c r="C94" s="136">
        <f t="shared" si="17"/>
        <v>79954.2</v>
      </c>
      <c r="D94" s="91">
        <f t="shared" si="17"/>
        <v>0</v>
      </c>
      <c r="E94" s="91">
        <f t="shared" si="17"/>
        <v>254.4</v>
      </c>
      <c r="F94" s="91">
        <f t="shared" si="17"/>
        <v>3045.7</v>
      </c>
      <c r="G94" s="91">
        <f t="shared" si="17"/>
        <v>9565.8</v>
      </c>
      <c r="H94" s="91">
        <f>H10+H15+H24+H33+H47+H52+H54+H61+H62+H69+H71+H72+H76+H81+H82+H83+H88+H89+H90+H91+H40+H92+H70</f>
        <v>5999.699999999999</v>
      </c>
      <c r="I94" s="91">
        <f t="shared" si="17"/>
        <v>4947.47162</v>
      </c>
      <c r="J94" s="91">
        <f t="shared" si="17"/>
        <v>9309.4</v>
      </c>
      <c r="K94" s="91">
        <f t="shared" si="17"/>
        <v>33398.5</v>
      </c>
      <c r="L94" s="91">
        <f t="shared" si="17"/>
        <v>51394.700000000004</v>
      </c>
      <c r="M94" s="91">
        <f t="shared" si="17"/>
        <v>5278.899999999999</v>
      </c>
      <c r="N94" s="91">
        <f t="shared" si="17"/>
        <v>2657.7999999999997</v>
      </c>
      <c r="O94" s="91">
        <f t="shared" si="17"/>
        <v>2062.5</v>
      </c>
      <c r="P94" s="91">
        <f t="shared" si="17"/>
        <v>5695.3</v>
      </c>
      <c r="Q94" s="91">
        <f t="shared" si="17"/>
        <v>4019</v>
      </c>
      <c r="R94" s="91">
        <f t="shared" si="17"/>
        <v>4339.4</v>
      </c>
      <c r="S94" s="91">
        <f t="shared" si="17"/>
        <v>47823.69999999999</v>
      </c>
      <c r="T94" s="91">
        <f t="shared" si="17"/>
        <v>15705.400000000001</v>
      </c>
      <c r="U94" s="91">
        <f t="shared" si="17"/>
        <v>9906.7</v>
      </c>
      <c r="V94" s="91">
        <f t="shared" si="17"/>
        <v>16507.3</v>
      </c>
      <c r="W94" s="91">
        <f t="shared" si="17"/>
        <v>0</v>
      </c>
      <c r="X94" s="91">
        <f t="shared" si="17"/>
        <v>0</v>
      </c>
      <c r="Y94" s="91">
        <f t="shared" si="17"/>
        <v>0</v>
      </c>
      <c r="Z94" s="91">
        <f t="shared" si="17"/>
        <v>0</v>
      </c>
      <c r="AA94" s="91">
        <f>AA10+AA15+AA24+AA33+AA47+AA52+AA54+AA61+AA62+AA69+AA71+AA72+AA76+AA81+AA82+AA83+AA88+AA89+AA90+AA91+AA40</f>
        <v>0</v>
      </c>
      <c r="AB94" s="91">
        <f>AB10+AB15+AB24+AB33+AB47+AB52+AB54+AB61+AB62+AB69+AB71+AB72+AB76+AB81+AB82+AB83+AB88+AB89+AB90+AB91+AB40</f>
        <v>0</v>
      </c>
      <c r="AC94" s="91">
        <f>AC10+AC15+AC24+AC33+AC47+AC52+AC54+AC61+AC62+AC69+AC71+AC72+AC76+AC81+AC82+AC83+AC88+AC89+AC90+AC91+AC40</f>
        <v>0</v>
      </c>
      <c r="AD94" s="91">
        <f>AD10+AD15+AD24+AD33+AD47+AD52+AD54+AD61+AD62+AD69+AD71+AD72+AD76+AD81+AD82+AD83+AD88+AD89+AD90+AD91+AD40</f>
        <v>0</v>
      </c>
      <c r="AE94" s="91">
        <f>AE10+AE15+AE24+AE33+AE47+AE52+AE54+AE61+AE62+AE69+AE71+AE72+AE76+AE81+AE82+AE83+AE88+AE89+AE90+AE91+AE40</f>
        <v>0</v>
      </c>
      <c r="AF94" s="91"/>
      <c r="AG94" s="91">
        <f>AG10+AG15+AG24+AG33+AG47+AG52+AG54+AG61+AG62+AG69+AG71+AG72+AG76+AG81+AG82+AG83+AG88+AG89+AG90+AG91+AG70+AG40+AG92</f>
        <v>231911.67161999992</v>
      </c>
      <c r="AH94" s="91">
        <f>AH10+AH15+AH24+AH33+AH47+AH52+AH54+AH61+AH62+AH69+AH71+AH72+AH76+AH81+AH82+AH83+AH88+AH89+AH90+AH91+AH70+AH40+AH92</f>
        <v>67226.42838000007</v>
      </c>
    </row>
    <row r="95" spans="1:34" s="18" customFormat="1" ht="15.75">
      <c r="A95" s="98" t="s">
        <v>5</v>
      </c>
      <c r="B95" s="97">
        <f aca="true" t="shared" si="18" ref="B95:AE95">B11+B17+B26+B34+B55+B63+B73+B41+B77+B48</f>
        <v>123530.69999999998</v>
      </c>
      <c r="C95" s="97">
        <f t="shared" si="18"/>
        <v>31577.159999999996</v>
      </c>
      <c r="D95" s="72">
        <f t="shared" si="18"/>
        <v>0</v>
      </c>
      <c r="E95" s="72">
        <f t="shared" si="18"/>
        <v>252.3</v>
      </c>
      <c r="F95" s="72">
        <f t="shared" si="18"/>
        <v>2486.7999999999997</v>
      </c>
      <c r="G95" s="72">
        <f t="shared" si="18"/>
        <v>122</v>
      </c>
      <c r="H95" s="72">
        <f>H11+H17+H26+H34+H55+H63+H73+H41+H77+H48</f>
        <v>100.6</v>
      </c>
      <c r="I95" s="72">
        <f t="shared" si="18"/>
        <v>0</v>
      </c>
      <c r="J95" s="72">
        <f t="shared" si="18"/>
        <v>32.5</v>
      </c>
      <c r="K95" s="72">
        <f t="shared" si="18"/>
        <v>22449.100000000002</v>
      </c>
      <c r="L95" s="72">
        <f t="shared" si="18"/>
        <v>46395.700000000004</v>
      </c>
      <c r="M95" s="72">
        <f t="shared" si="18"/>
        <v>4022.8</v>
      </c>
      <c r="N95" s="72">
        <f t="shared" si="18"/>
        <v>4.5</v>
      </c>
      <c r="O95" s="72">
        <f t="shared" si="18"/>
        <v>0</v>
      </c>
      <c r="P95" s="72">
        <f t="shared" si="18"/>
        <v>360</v>
      </c>
      <c r="Q95" s="72">
        <f t="shared" si="18"/>
        <v>1.8</v>
      </c>
      <c r="R95" s="72">
        <f t="shared" si="18"/>
        <v>1053.5</v>
      </c>
      <c r="S95" s="72">
        <f t="shared" si="18"/>
        <v>31099.600000000002</v>
      </c>
      <c r="T95" s="72">
        <f t="shared" si="18"/>
        <v>21507.2</v>
      </c>
      <c r="U95" s="72">
        <f t="shared" si="18"/>
        <v>7990.9</v>
      </c>
      <c r="V95" s="72">
        <f t="shared" si="18"/>
        <v>0</v>
      </c>
      <c r="W95" s="72">
        <f>W11+W17+W26+W34+W55+W63+W73+W41+W77+W48</f>
        <v>0</v>
      </c>
      <c r="X95" s="72">
        <f t="shared" si="18"/>
        <v>0</v>
      </c>
      <c r="Y95" s="72">
        <f t="shared" si="18"/>
        <v>0</v>
      </c>
      <c r="Z95" s="72">
        <f t="shared" si="18"/>
        <v>0</v>
      </c>
      <c r="AA95" s="72">
        <f t="shared" si="18"/>
        <v>0</v>
      </c>
      <c r="AB95" s="72">
        <f t="shared" si="18"/>
        <v>0</v>
      </c>
      <c r="AC95" s="72">
        <f t="shared" si="18"/>
        <v>0</v>
      </c>
      <c r="AD95" s="72">
        <f t="shared" si="18"/>
        <v>0</v>
      </c>
      <c r="AE95" s="72">
        <f t="shared" si="18"/>
        <v>0</v>
      </c>
      <c r="AF95" s="72"/>
      <c r="AG95" s="72">
        <f>SUM(D95:AE95)</f>
        <v>137879.30000000002</v>
      </c>
      <c r="AH95" s="72">
        <f>B95+C95-AG95</f>
        <v>17228.55999999997</v>
      </c>
    </row>
    <row r="96" spans="1:34" s="18" customFormat="1" ht="15.75">
      <c r="A96" s="98" t="s">
        <v>2</v>
      </c>
      <c r="B96" s="97">
        <f aca="true" t="shared" si="19" ref="B96:AE96">B12+B20+B29+B36+B57+B66+B44+B80+B74+B53</f>
        <v>2629.3</v>
      </c>
      <c r="C96" s="97">
        <f t="shared" si="19"/>
        <v>9384.899999999996</v>
      </c>
      <c r="D96" s="72">
        <f t="shared" si="19"/>
        <v>0</v>
      </c>
      <c r="E96" s="72">
        <f t="shared" si="19"/>
        <v>0</v>
      </c>
      <c r="F96" s="72">
        <f t="shared" si="19"/>
        <v>61.6</v>
      </c>
      <c r="G96" s="72">
        <f t="shared" si="19"/>
        <v>224.00000000000003</v>
      </c>
      <c r="H96" s="72">
        <f>H12+H20+H29+H36+H57+H66+H44+H80+H74+H53</f>
        <v>1720.6</v>
      </c>
      <c r="I96" s="72">
        <f t="shared" si="19"/>
        <v>41.33462</v>
      </c>
      <c r="J96" s="72">
        <f t="shared" si="19"/>
        <v>60.7</v>
      </c>
      <c r="K96" s="72">
        <f t="shared" si="19"/>
        <v>173.1</v>
      </c>
      <c r="L96" s="72">
        <f t="shared" si="19"/>
        <v>405.6</v>
      </c>
      <c r="M96" s="72">
        <f t="shared" si="19"/>
        <v>243.5</v>
      </c>
      <c r="N96" s="72">
        <f t="shared" si="19"/>
        <v>24.900000000000002</v>
      </c>
      <c r="O96" s="72">
        <f t="shared" si="19"/>
        <v>5.699999999999999</v>
      </c>
      <c r="P96" s="72">
        <f t="shared" si="19"/>
        <v>8</v>
      </c>
      <c r="Q96" s="72">
        <f t="shared" si="19"/>
        <v>33.3</v>
      </c>
      <c r="R96" s="72">
        <f t="shared" si="19"/>
        <v>15</v>
      </c>
      <c r="S96" s="72">
        <f t="shared" si="19"/>
        <v>11.6</v>
      </c>
      <c r="T96" s="72">
        <f t="shared" si="19"/>
        <v>52</v>
      </c>
      <c r="U96" s="72">
        <f t="shared" si="19"/>
        <v>9.4</v>
      </c>
      <c r="V96" s="72">
        <f t="shared" si="19"/>
        <v>0</v>
      </c>
      <c r="W96" s="72">
        <f t="shared" si="19"/>
        <v>0</v>
      </c>
      <c r="X96" s="72">
        <f t="shared" si="19"/>
        <v>0</v>
      </c>
      <c r="Y96" s="72">
        <f t="shared" si="19"/>
        <v>0</v>
      </c>
      <c r="Z96" s="72">
        <f t="shared" si="19"/>
        <v>0</v>
      </c>
      <c r="AA96" s="72">
        <f t="shared" si="19"/>
        <v>0</v>
      </c>
      <c r="AB96" s="72">
        <f t="shared" si="19"/>
        <v>0</v>
      </c>
      <c r="AC96" s="72">
        <f t="shared" si="19"/>
        <v>0</v>
      </c>
      <c r="AD96" s="72">
        <f t="shared" si="19"/>
        <v>0</v>
      </c>
      <c r="AE96" s="72">
        <f t="shared" si="19"/>
        <v>0</v>
      </c>
      <c r="AF96" s="72"/>
      <c r="AG96" s="72">
        <f>SUM(D96:AE96)</f>
        <v>3090.3346199999996</v>
      </c>
      <c r="AH96" s="72">
        <f>B96+C96-AG96</f>
        <v>8923.865379999997</v>
      </c>
    </row>
    <row r="97" spans="1:34" s="18" customFormat="1" ht="15.75">
      <c r="A97" s="98" t="s">
        <v>3</v>
      </c>
      <c r="B97" s="97">
        <f aca="true" t="shared" si="20" ref="B97:AB97">B18+B27+B42+B64+B78</f>
        <v>0</v>
      </c>
      <c r="C97" s="97">
        <f t="shared" si="20"/>
        <v>15.600000000000001</v>
      </c>
      <c r="D97" s="72">
        <f t="shared" si="20"/>
        <v>0</v>
      </c>
      <c r="E97" s="72">
        <f t="shared" si="20"/>
        <v>0</v>
      </c>
      <c r="F97" s="72">
        <f t="shared" si="20"/>
        <v>0</v>
      </c>
      <c r="G97" s="72">
        <f t="shared" si="20"/>
        <v>0</v>
      </c>
      <c r="H97" s="72">
        <f>H18+H27+H42+H64+H78</f>
        <v>0</v>
      </c>
      <c r="I97" s="72">
        <f t="shared" si="20"/>
        <v>0.1</v>
      </c>
      <c r="J97" s="72">
        <f t="shared" si="20"/>
        <v>0</v>
      </c>
      <c r="K97" s="72">
        <f t="shared" si="20"/>
        <v>0</v>
      </c>
      <c r="L97" s="72">
        <f t="shared" si="20"/>
        <v>0</v>
      </c>
      <c r="M97" s="72">
        <f t="shared" si="20"/>
        <v>0</v>
      </c>
      <c r="N97" s="72">
        <f t="shared" si="20"/>
        <v>0</v>
      </c>
      <c r="O97" s="72">
        <f t="shared" si="20"/>
        <v>0</v>
      </c>
      <c r="P97" s="72">
        <f t="shared" si="20"/>
        <v>0</v>
      </c>
      <c r="Q97" s="72">
        <f t="shared" si="20"/>
        <v>0</v>
      </c>
      <c r="R97" s="72">
        <f t="shared" si="20"/>
        <v>0</v>
      </c>
      <c r="S97" s="72">
        <f t="shared" si="20"/>
        <v>0</v>
      </c>
      <c r="T97" s="72">
        <f t="shared" si="20"/>
        <v>0</v>
      </c>
      <c r="U97" s="72">
        <f t="shared" si="20"/>
        <v>0</v>
      </c>
      <c r="V97" s="72">
        <f t="shared" si="20"/>
        <v>0</v>
      </c>
      <c r="W97" s="72">
        <f t="shared" si="20"/>
        <v>0</v>
      </c>
      <c r="X97" s="72">
        <f t="shared" si="20"/>
        <v>0</v>
      </c>
      <c r="Y97" s="72">
        <f t="shared" si="20"/>
        <v>0</v>
      </c>
      <c r="Z97" s="72">
        <f t="shared" si="20"/>
        <v>0</v>
      </c>
      <c r="AA97" s="72">
        <f t="shared" si="20"/>
        <v>0</v>
      </c>
      <c r="AB97" s="72">
        <f t="shared" si="20"/>
        <v>0</v>
      </c>
      <c r="AC97" s="72">
        <f>AC18+AC27+AC42+AC64</f>
        <v>0</v>
      </c>
      <c r="AD97" s="72">
        <f>AD18+AD27+AD42+AD64</f>
        <v>0</v>
      </c>
      <c r="AE97" s="72">
        <f>AE18+AE27+AE42+AE64</f>
        <v>0</v>
      </c>
      <c r="AF97" s="72"/>
      <c r="AG97" s="72">
        <f>SUM(D97:AE97)</f>
        <v>0.1</v>
      </c>
      <c r="AH97" s="72">
        <f>B97+C97-AG97</f>
        <v>15.500000000000002</v>
      </c>
    </row>
    <row r="98" spans="1:34" s="18" customFormat="1" ht="15.75">
      <c r="A98" s="98" t="s">
        <v>1</v>
      </c>
      <c r="B98" s="97">
        <f aca="true" t="shared" si="21" ref="B98:AE98">B19+B28+B65+B35+B43+B56+B79</f>
        <v>2430.9</v>
      </c>
      <c r="C98" s="97">
        <f t="shared" si="21"/>
        <v>3654.3999999999987</v>
      </c>
      <c r="D98" s="72">
        <f t="shared" si="21"/>
        <v>0</v>
      </c>
      <c r="E98" s="72">
        <f t="shared" si="21"/>
        <v>0</v>
      </c>
      <c r="F98" s="72">
        <f t="shared" si="21"/>
        <v>0</v>
      </c>
      <c r="G98" s="72">
        <f t="shared" si="21"/>
        <v>379</v>
      </c>
      <c r="H98" s="72">
        <f>H19+H28+H65+H35+H43+H56+H79</f>
        <v>507.1</v>
      </c>
      <c r="I98" s="72">
        <f t="shared" si="21"/>
        <v>37.5</v>
      </c>
      <c r="J98" s="72">
        <f t="shared" si="21"/>
        <v>42.2</v>
      </c>
      <c r="K98" s="72">
        <f t="shared" si="21"/>
        <v>16.5</v>
      </c>
      <c r="L98" s="72">
        <f t="shared" si="21"/>
        <v>615.4</v>
      </c>
      <c r="M98" s="72">
        <f t="shared" si="21"/>
        <v>261.9</v>
      </c>
      <c r="N98" s="72">
        <f t="shared" si="21"/>
        <v>63.6</v>
      </c>
      <c r="O98" s="72">
        <f t="shared" si="21"/>
        <v>420</v>
      </c>
      <c r="P98" s="72">
        <f t="shared" si="21"/>
        <v>11.8</v>
      </c>
      <c r="Q98" s="72">
        <f t="shared" si="21"/>
        <v>98.2</v>
      </c>
      <c r="R98" s="72">
        <f t="shared" si="21"/>
        <v>271.9</v>
      </c>
      <c r="S98" s="72">
        <f t="shared" si="21"/>
        <v>6.2</v>
      </c>
      <c r="T98" s="72">
        <f t="shared" si="21"/>
        <v>339.3</v>
      </c>
      <c r="U98" s="72">
        <f t="shared" si="21"/>
        <v>409.7</v>
      </c>
      <c r="V98" s="72">
        <f t="shared" si="21"/>
        <v>0</v>
      </c>
      <c r="W98" s="72">
        <f t="shared" si="21"/>
        <v>0</v>
      </c>
      <c r="X98" s="72">
        <f t="shared" si="21"/>
        <v>0</v>
      </c>
      <c r="Y98" s="72">
        <f t="shared" si="21"/>
        <v>0</v>
      </c>
      <c r="Z98" s="72">
        <f t="shared" si="21"/>
        <v>0</v>
      </c>
      <c r="AA98" s="72">
        <f t="shared" si="21"/>
        <v>0</v>
      </c>
      <c r="AB98" s="72">
        <f t="shared" si="21"/>
        <v>0</v>
      </c>
      <c r="AC98" s="72">
        <f t="shared" si="21"/>
        <v>0</v>
      </c>
      <c r="AD98" s="72">
        <f t="shared" si="21"/>
        <v>0</v>
      </c>
      <c r="AE98" s="72">
        <f t="shared" si="21"/>
        <v>0</v>
      </c>
      <c r="AF98" s="72"/>
      <c r="AG98" s="72">
        <f>SUM(D98:AE98)</f>
        <v>3480.2999999999997</v>
      </c>
      <c r="AH98" s="72">
        <f>B98+C98-AG98</f>
        <v>2604.9999999999995</v>
      </c>
    </row>
    <row r="99" spans="1:34" s="18" customFormat="1" ht="15.75">
      <c r="A99" s="98" t="s">
        <v>16</v>
      </c>
      <c r="B99" s="97">
        <f>B21+B30+B49+B37+B58+B13+B75+B67</f>
        <v>8615.4</v>
      </c>
      <c r="C99" s="97">
        <f aca="true" t="shared" si="22" ref="C99:Y99">C21+C30+C49+C37+C58+C13+C75+C67</f>
        <v>2763.900000000003</v>
      </c>
      <c r="D99" s="72">
        <f t="shared" si="22"/>
        <v>0</v>
      </c>
      <c r="E99" s="72">
        <f t="shared" si="22"/>
        <v>0</v>
      </c>
      <c r="F99" s="72">
        <f t="shared" si="22"/>
        <v>0</v>
      </c>
      <c r="G99" s="72">
        <f t="shared" si="22"/>
        <v>2307.8999999999996</v>
      </c>
      <c r="H99" s="72">
        <f>H21+H30+H49+H37+H58+H13+H75+H67</f>
        <v>0</v>
      </c>
      <c r="I99" s="72">
        <f t="shared" si="22"/>
        <v>82.3</v>
      </c>
      <c r="J99" s="72">
        <f t="shared" si="22"/>
        <v>66.2</v>
      </c>
      <c r="K99" s="72">
        <f t="shared" si="22"/>
        <v>0</v>
      </c>
      <c r="L99" s="72">
        <f t="shared" si="22"/>
        <v>0.7</v>
      </c>
      <c r="M99" s="72">
        <f t="shared" si="22"/>
        <v>655.9</v>
      </c>
      <c r="N99" s="72">
        <f t="shared" si="22"/>
        <v>66.7</v>
      </c>
      <c r="O99" s="72">
        <f t="shared" si="22"/>
        <v>0.4</v>
      </c>
      <c r="P99" s="72">
        <f t="shared" si="22"/>
        <v>2205.8</v>
      </c>
      <c r="Q99" s="72">
        <f t="shared" si="22"/>
        <v>295.9</v>
      </c>
      <c r="R99" s="72">
        <f t="shared" si="22"/>
        <v>285.59999999999997</v>
      </c>
      <c r="S99" s="72">
        <f t="shared" si="22"/>
        <v>354.5</v>
      </c>
      <c r="T99" s="72">
        <f t="shared" si="22"/>
        <v>521.3</v>
      </c>
      <c r="U99" s="72">
        <f t="shared" si="22"/>
        <v>289.2</v>
      </c>
      <c r="V99" s="72">
        <f t="shared" si="22"/>
        <v>0</v>
      </c>
      <c r="W99" s="72">
        <f t="shared" si="22"/>
        <v>0</v>
      </c>
      <c r="X99" s="72">
        <f t="shared" si="22"/>
        <v>0</v>
      </c>
      <c r="Y99" s="72">
        <f t="shared" si="22"/>
        <v>0</v>
      </c>
      <c r="Z99" s="72">
        <f aca="true" t="shared" si="23" ref="Z99:AE99">Z21+Z30+Z49+Z37+Z58+Z13+Z75</f>
        <v>0</v>
      </c>
      <c r="AA99" s="72">
        <f t="shared" si="23"/>
        <v>0</v>
      </c>
      <c r="AB99" s="72">
        <f t="shared" si="23"/>
        <v>0</v>
      </c>
      <c r="AC99" s="72">
        <f t="shared" si="23"/>
        <v>0</v>
      </c>
      <c r="AD99" s="72">
        <f t="shared" si="23"/>
        <v>0</v>
      </c>
      <c r="AE99" s="72">
        <f t="shared" si="23"/>
        <v>0</v>
      </c>
      <c r="AF99" s="72"/>
      <c r="AG99" s="72">
        <f>SUM(D99:AE99)</f>
        <v>7132.4</v>
      </c>
      <c r="AH99" s="72">
        <f>B99+C99-AG99</f>
        <v>4246.900000000003</v>
      </c>
    </row>
    <row r="100" spans="1:34" ht="12.75">
      <c r="A100" s="1" t="s">
        <v>35</v>
      </c>
      <c r="B100" s="2">
        <f>B94-B95-B96-B97-B98-B99</f>
        <v>81977.59999999999</v>
      </c>
      <c r="C100" s="2">
        <f aca="true" t="shared" si="24" ref="C100:AE100">C94-C95-C96-C97-C98-C99</f>
        <v>32558.240000000005</v>
      </c>
      <c r="D100" s="84">
        <f t="shared" si="24"/>
        <v>0</v>
      </c>
      <c r="E100" s="84">
        <f t="shared" si="24"/>
        <v>2.0999999999999943</v>
      </c>
      <c r="F100" s="84">
        <f t="shared" si="24"/>
        <v>497.30000000000007</v>
      </c>
      <c r="G100" s="84">
        <f t="shared" si="24"/>
        <v>6532.9</v>
      </c>
      <c r="H100" s="84">
        <f>H94-H95-H96-H97-H98-H99</f>
        <v>3671.3999999999983</v>
      </c>
      <c r="I100" s="84">
        <f t="shared" si="24"/>
        <v>4786.237</v>
      </c>
      <c r="J100" s="84">
        <f t="shared" si="24"/>
        <v>9107.799999999997</v>
      </c>
      <c r="K100" s="84">
        <f t="shared" si="24"/>
        <v>10759.799999999997</v>
      </c>
      <c r="L100" s="84">
        <f t="shared" si="24"/>
        <v>3977.2999999999997</v>
      </c>
      <c r="M100" s="84">
        <f t="shared" si="24"/>
        <v>94.79999999999859</v>
      </c>
      <c r="N100" s="92">
        <f t="shared" si="24"/>
        <v>2498.1</v>
      </c>
      <c r="O100" s="84">
        <f t="shared" si="24"/>
        <v>1636.4</v>
      </c>
      <c r="P100" s="84">
        <f t="shared" si="24"/>
        <v>3109.7</v>
      </c>
      <c r="Q100" s="84">
        <f t="shared" si="24"/>
        <v>3589.7999999999997</v>
      </c>
      <c r="R100" s="84">
        <f t="shared" si="24"/>
        <v>2713.3999999999996</v>
      </c>
      <c r="S100" s="84">
        <f t="shared" si="24"/>
        <v>16351.799999999988</v>
      </c>
      <c r="T100" s="84">
        <f t="shared" si="24"/>
        <v>-6714.4</v>
      </c>
      <c r="U100" s="84">
        <f t="shared" si="24"/>
        <v>1207.500000000001</v>
      </c>
      <c r="V100" s="84">
        <f t="shared" si="24"/>
        <v>16507.3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>
        <f t="shared" si="24"/>
        <v>0</v>
      </c>
      <c r="AF100" s="84"/>
      <c r="AG100" s="84">
        <f>AG94-AG95-AG96-AG97-AG98-AG99</f>
        <v>80329.2369999999</v>
      </c>
      <c r="AH100" s="84">
        <f>AH94-AH95-AH96-AH97-AH98-AH99</f>
        <v>34206.603000000105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10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4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D186"/>
  <sheetViews>
    <sheetView zoomScale="70" zoomScaleNormal="70" zoomScalePageLayoutView="0" workbookViewId="0" topLeftCell="A1">
      <pane xSplit="1" ySplit="8" topLeftCell="P5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V74" sqref="V7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11.75390625" style="0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11.875" style="0" customWidth="1"/>
    <col min="20" max="20" width="11.75390625" style="18" customWidth="1"/>
    <col min="21" max="21" width="10.875" style="18" customWidth="1"/>
    <col min="22" max="22" width="10.875" style="0" customWidth="1"/>
    <col min="23" max="23" width="11.00390625" style="0" customWidth="1"/>
    <col min="24" max="24" width="10.625" style="0" customWidth="1"/>
    <col min="25" max="25" width="11.75390625" style="18" customWidth="1"/>
    <col min="26" max="26" width="8.75390625" style="18" customWidth="1"/>
    <col min="27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8" customFormat="1" ht="21" customHeight="1">
      <c r="A1" s="172" t="s">
        <v>12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</row>
    <row r="2" spans="1:34" s="18" customFormat="1" ht="22.5" customHeight="1">
      <c r="A2" s="173" t="s">
        <v>64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</row>
    <row r="3" spans="2:34" s="18" customFormat="1" ht="17.25" customHeight="1">
      <c r="B3" s="116"/>
      <c r="C3" s="116"/>
      <c r="D3" s="116"/>
      <c r="AH3" s="117" t="s">
        <v>17</v>
      </c>
    </row>
    <row r="4" spans="1:34" s="18" customFormat="1" ht="63">
      <c r="A4" s="118" t="s">
        <v>26</v>
      </c>
      <c r="B4" s="119" t="s">
        <v>65</v>
      </c>
      <c r="C4" s="119" t="s">
        <v>18</v>
      </c>
      <c r="D4" s="119">
        <v>1</v>
      </c>
      <c r="E4" s="19">
        <v>2</v>
      </c>
      <c r="F4" s="19">
        <v>3</v>
      </c>
      <c r="G4" s="19">
        <v>4</v>
      </c>
      <c r="H4" s="19">
        <v>5</v>
      </c>
      <c r="I4" s="19">
        <v>8</v>
      </c>
      <c r="J4" s="19">
        <v>9</v>
      </c>
      <c r="K4" s="19">
        <v>10</v>
      </c>
      <c r="L4" s="19">
        <v>11</v>
      </c>
      <c r="M4" s="19">
        <v>12</v>
      </c>
      <c r="N4" s="19">
        <v>15</v>
      </c>
      <c r="O4" s="19">
        <v>16</v>
      </c>
      <c r="P4" s="19">
        <v>17</v>
      </c>
      <c r="Q4" s="19">
        <v>18</v>
      </c>
      <c r="R4" s="19">
        <v>19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29</v>
      </c>
      <c r="Y4" s="19">
        <v>30</v>
      </c>
      <c r="Z4" s="19">
        <v>31</v>
      </c>
      <c r="AA4" s="19"/>
      <c r="AB4" s="19"/>
      <c r="AC4" s="19"/>
      <c r="AD4" s="19"/>
      <c r="AE4" s="19"/>
      <c r="AF4" s="119" t="s">
        <v>19</v>
      </c>
      <c r="AG4" s="120" t="s">
        <v>13</v>
      </c>
      <c r="AH4" s="120" t="s">
        <v>20</v>
      </c>
    </row>
    <row r="5" spans="1:34" s="18" customFormat="1" ht="15.75" hidden="1">
      <c r="A5" s="121" t="s">
        <v>42</v>
      </c>
      <c r="B5" s="86">
        <f>SUM(D5:Z5)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86"/>
      <c r="AG5" s="123"/>
      <c r="AH5" s="123"/>
    </row>
    <row r="6" spans="1:34" s="18" customFormat="1" ht="15.75" hidden="1">
      <c r="A6" s="121" t="s">
        <v>33</v>
      </c>
      <c r="B6" s="87">
        <f>SUM(D6:AE6)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122"/>
      <c r="AG6" s="123"/>
      <c r="AH6" s="123"/>
    </row>
    <row r="7" spans="1:34" s="18" customFormat="1" ht="15.75">
      <c r="A7" s="121" t="s">
        <v>36</v>
      </c>
      <c r="B7" s="87">
        <f>SUM(D7:Z7)</f>
        <v>29120.2</v>
      </c>
      <c r="C7" s="86">
        <v>1603.899999999987</v>
      </c>
      <c r="D7" s="122"/>
      <c r="E7" s="39">
        <v>14560.1</v>
      </c>
      <c r="F7" s="39"/>
      <c r="G7" s="39"/>
      <c r="H7" s="124"/>
      <c r="I7" s="125"/>
      <c r="J7" s="39"/>
      <c r="K7" s="39"/>
      <c r="L7" s="39"/>
      <c r="M7" s="39">
        <v>14560.1</v>
      </c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86">
        <f>C7+E7+M7-AG16-AG25</f>
        <v>7126.499999999993</v>
      </c>
      <c r="AG7" s="86"/>
      <c r="AH7" s="123"/>
    </row>
    <row r="8" spans="1:56" s="18" customFormat="1" ht="18" customHeight="1">
      <c r="A8" s="126" t="s">
        <v>30</v>
      </c>
      <c r="B8" s="87">
        <f>SUM(E8:AC8)</f>
        <v>166352.7</v>
      </c>
      <c r="C8" s="87">
        <v>28300.3066200002</v>
      </c>
      <c r="D8" s="127">
        <v>15433.8</v>
      </c>
      <c r="E8" s="128">
        <v>3256.1</v>
      </c>
      <c r="F8" s="62">
        <v>3703.8</v>
      </c>
      <c r="G8" s="62">
        <v>3391.5</v>
      </c>
      <c r="H8" s="62">
        <v>6774.6</v>
      </c>
      <c r="I8" s="62">
        <v>18320.1</v>
      </c>
      <c r="J8" s="62">
        <v>9346.5</v>
      </c>
      <c r="K8" s="62">
        <v>4163.1</v>
      </c>
      <c r="L8" s="62">
        <v>3842.9</v>
      </c>
      <c r="M8" s="62">
        <v>2841.4</v>
      </c>
      <c r="N8" s="62">
        <v>6324.3</v>
      </c>
      <c r="O8" s="62">
        <v>12588.8</v>
      </c>
      <c r="P8" s="62">
        <v>5540.3</v>
      </c>
      <c r="Q8" s="62">
        <v>4861.9</v>
      </c>
      <c r="R8" s="62">
        <v>6397.8</v>
      </c>
      <c r="S8" s="62">
        <v>11009.7</v>
      </c>
      <c r="T8" s="63">
        <v>11268.3</v>
      </c>
      <c r="U8" s="63">
        <v>10400.1</v>
      </c>
      <c r="V8" s="62">
        <v>3048.3</v>
      </c>
      <c r="W8" s="62">
        <v>4977.5</v>
      </c>
      <c r="X8" s="165">
        <v>8372.7</v>
      </c>
      <c r="Y8" s="62">
        <v>9781.4</v>
      </c>
      <c r="Z8" s="62">
        <v>16141.6</v>
      </c>
      <c r="AA8" s="62"/>
      <c r="AB8" s="62"/>
      <c r="AC8" s="62"/>
      <c r="AD8" s="129"/>
      <c r="AE8" s="129"/>
      <c r="AF8" s="130">
        <f>SUM(D8:AE8)+C8-AG9+AG16+AG25</f>
        <v>59547.006620000255</v>
      </c>
      <c r="AG8" s="131"/>
      <c r="AH8" s="72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36" s="134" customFormat="1" ht="15.75">
      <c r="A9" s="126" t="s">
        <v>14</v>
      </c>
      <c r="B9" s="132">
        <f aca="true" t="shared" si="0" ref="B9:AE9">B10+B15+B24+B33+B47+B52+B54+B61+B62+B71+B72+B88+B76+B81+B83+B82+B69+B89+B90+B91+B70+B40+B92</f>
        <v>189487.1</v>
      </c>
      <c r="C9" s="132">
        <f t="shared" si="0"/>
        <v>67226.30000000003</v>
      </c>
      <c r="D9" s="90">
        <f t="shared" si="0"/>
        <v>18523</v>
      </c>
      <c r="E9" s="90">
        <f t="shared" si="0"/>
        <v>7287.4</v>
      </c>
      <c r="F9" s="90">
        <f t="shared" si="0"/>
        <v>5701.599999999999</v>
      </c>
      <c r="G9" s="90">
        <f t="shared" si="0"/>
        <v>3391.4</v>
      </c>
      <c r="H9" s="90">
        <f>H10+H15+H24+H33+H47+H52+H54+H61+H62+H71+H72+H88+H76+H81+H83+H82+H69+H89+H90+H91+H70+H40+H92</f>
        <v>7572.9</v>
      </c>
      <c r="I9" s="90">
        <f t="shared" si="0"/>
        <v>17610.3</v>
      </c>
      <c r="J9" s="90">
        <f t="shared" si="0"/>
        <v>1040.4</v>
      </c>
      <c r="K9" s="90">
        <f t="shared" si="0"/>
        <v>3916.1</v>
      </c>
      <c r="L9" s="90">
        <f t="shared" si="0"/>
        <v>20420.9</v>
      </c>
      <c r="M9" s="90">
        <f t="shared" si="0"/>
        <v>6946.700000000001</v>
      </c>
      <c r="N9" s="90">
        <f t="shared" si="0"/>
        <v>6324.8</v>
      </c>
      <c r="O9" s="90">
        <f t="shared" si="0"/>
        <v>3510.2</v>
      </c>
      <c r="P9" s="90">
        <f t="shared" si="0"/>
        <v>6793.5</v>
      </c>
      <c r="Q9" s="90">
        <f t="shared" si="0"/>
        <v>4960.1</v>
      </c>
      <c r="R9" s="90">
        <f t="shared" si="0"/>
        <v>6227.5</v>
      </c>
      <c r="S9" s="90">
        <f t="shared" si="0"/>
        <v>752.9</v>
      </c>
      <c r="T9" s="90">
        <f t="shared" si="0"/>
        <v>414.90000000000003</v>
      </c>
      <c r="U9" s="90">
        <f t="shared" si="0"/>
        <v>1938.9</v>
      </c>
      <c r="V9" s="90">
        <f t="shared" si="0"/>
        <v>4589.2</v>
      </c>
      <c r="W9" s="90">
        <f t="shared" si="0"/>
        <v>31334.800000000003</v>
      </c>
      <c r="X9" s="90">
        <f t="shared" si="0"/>
        <v>9862.799999999997</v>
      </c>
      <c r="Y9" s="90">
        <f t="shared" si="0"/>
        <v>3018.7</v>
      </c>
      <c r="Z9" s="90">
        <f t="shared" si="0"/>
        <v>1998.3999999999999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 t="shared" si="0"/>
        <v>0</v>
      </c>
      <c r="AE9" s="90">
        <f t="shared" si="0"/>
        <v>0</v>
      </c>
      <c r="AF9" s="90"/>
      <c r="AG9" s="90">
        <f>AG10+AG15+AG24+AG33+AG47+AG52+AG54+AG61+AG62+AG71+AG72+AG76+AG88+AG81+AG83+AG82+AG69+AG89+AG90+AG91+AG70+AG40+AG92</f>
        <v>174137.39999999994</v>
      </c>
      <c r="AH9" s="90">
        <f>AH10+AH15+AH24+AH33+AH47+AH52+AH54+AH61+AH62+AH71+AH72+AH76+AH88+AH81+AH83+AH82+AH69+AH89+AH91+AH90+AH70+AH40+AH92</f>
        <v>82576.00000000003</v>
      </c>
      <c r="AI9" s="133"/>
      <c r="AJ9" s="133"/>
    </row>
    <row r="10" spans="1:36" s="142" customFormat="1" ht="15.75">
      <c r="A10" s="138" t="s">
        <v>4</v>
      </c>
      <c r="B10" s="139">
        <v>19279.8</v>
      </c>
      <c r="C10" s="139">
        <v>6768.299999999999</v>
      </c>
      <c r="D10" s="140"/>
      <c r="E10" s="140">
        <v>816.9</v>
      </c>
      <c r="F10" s="140">
        <v>556.7</v>
      </c>
      <c r="G10" s="140">
        <v>252.7</v>
      </c>
      <c r="H10" s="140">
        <v>47.3</v>
      </c>
      <c r="I10" s="140">
        <v>26.1</v>
      </c>
      <c r="J10" s="140">
        <v>10.5</v>
      </c>
      <c r="K10" s="141">
        <v>1831.8</v>
      </c>
      <c r="L10" s="140">
        <v>362.6</v>
      </c>
      <c r="M10" s="140">
        <v>5112.3</v>
      </c>
      <c r="N10" s="140">
        <v>49.2</v>
      </c>
      <c r="O10" s="140">
        <v>9</v>
      </c>
      <c r="P10" s="140">
        <v>4.2</v>
      </c>
      <c r="Q10" s="140">
        <v>67</v>
      </c>
      <c r="R10" s="140">
        <v>56.3</v>
      </c>
      <c r="S10" s="140">
        <v>15.3</v>
      </c>
      <c r="T10" s="140">
        <v>36.4</v>
      </c>
      <c r="U10" s="140">
        <v>3.2</v>
      </c>
      <c r="V10" s="140">
        <v>1681.3</v>
      </c>
      <c r="W10" s="140">
        <v>904.4</v>
      </c>
      <c r="X10" s="140">
        <v>5604</v>
      </c>
      <c r="Y10" s="140">
        <v>2912.7</v>
      </c>
      <c r="Z10" s="140">
        <v>111.6</v>
      </c>
      <c r="AA10" s="140"/>
      <c r="AB10" s="140"/>
      <c r="AC10" s="140"/>
      <c r="AD10" s="140"/>
      <c r="AE10" s="140"/>
      <c r="AF10" s="140"/>
      <c r="AG10" s="140">
        <f aca="true" t="shared" si="1" ref="AG10:AG59">SUM(D10:AE10)</f>
        <v>20471.499999999996</v>
      </c>
      <c r="AH10" s="140">
        <f>B10+C10-AG10</f>
        <v>5576.600000000002</v>
      </c>
      <c r="AJ10" s="143"/>
    </row>
    <row r="11" spans="1:36" s="142" customFormat="1" ht="15.75">
      <c r="A11" s="144" t="s">
        <v>5</v>
      </c>
      <c r="B11" s="139">
        <v>18251.2</v>
      </c>
      <c r="C11" s="139">
        <v>5430.600000000006</v>
      </c>
      <c r="D11" s="140"/>
      <c r="E11" s="140">
        <v>385.2</v>
      </c>
      <c r="F11" s="140">
        <v>462.1</v>
      </c>
      <c r="G11" s="140">
        <v>247.3</v>
      </c>
      <c r="H11" s="140"/>
      <c r="I11" s="140"/>
      <c r="J11" s="140"/>
      <c r="K11" s="140">
        <v>1788.6</v>
      </c>
      <c r="L11" s="140">
        <v>354.1</v>
      </c>
      <c r="M11" s="140">
        <v>5063.8</v>
      </c>
      <c r="N11" s="140">
        <v>47.1</v>
      </c>
      <c r="O11" s="140"/>
      <c r="P11" s="140"/>
      <c r="Q11" s="140">
        <v>52.3</v>
      </c>
      <c r="R11" s="140"/>
      <c r="S11" s="140"/>
      <c r="T11" s="140"/>
      <c r="U11" s="140"/>
      <c r="V11" s="140">
        <v>1675.5</v>
      </c>
      <c r="W11" s="140">
        <v>858.8</v>
      </c>
      <c r="X11" s="140">
        <v>5573.5</v>
      </c>
      <c r="Y11" s="140">
        <v>2911.9</v>
      </c>
      <c r="Z11" s="140">
        <v>111.6</v>
      </c>
      <c r="AA11" s="140"/>
      <c r="AB11" s="140"/>
      <c r="AC11" s="140"/>
      <c r="AD11" s="140"/>
      <c r="AE11" s="140"/>
      <c r="AF11" s="140"/>
      <c r="AG11" s="140">
        <f t="shared" si="1"/>
        <v>19531.8</v>
      </c>
      <c r="AH11" s="140">
        <f>B11+C11-AG11</f>
        <v>4150.000000000007</v>
      </c>
      <c r="AJ11" s="143"/>
    </row>
    <row r="12" spans="1:36" s="142" customFormat="1" ht="15.75">
      <c r="A12" s="144" t="s">
        <v>2</v>
      </c>
      <c r="B12" s="145">
        <v>173.1</v>
      </c>
      <c r="C12" s="139">
        <v>23.4</v>
      </c>
      <c r="D12" s="140"/>
      <c r="E12" s="140"/>
      <c r="F12" s="140">
        <v>71.3</v>
      </c>
      <c r="G12" s="140"/>
      <c r="H12" s="140">
        <v>23</v>
      </c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>
        <v>0.6</v>
      </c>
      <c r="V12" s="140">
        <v>0.1</v>
      </c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>
        <f t="shared" si="1"/>
        <v>94.99999999999999</v>
      </c>
      <c r="AH12" s="140">
        <f>B12+C12-AG12</f>
        <v>101.50000000000001</v>
      </c>
      <c r="AJ12" s="143"/>
    </row>
    <row r="13" spans="1:36" s="142" customFormat="1" ht="15.75" hidden="1">
      <c r="A13" s="144" t="s">
        <v>16</v>
      </c>
      <c r="B13" s="139"/>
      <c r="C13" s="139">
        <v>0</v>
      </c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>
        <f t="shared" si="1"/>
        <v>0</v>
      </c>
      <c r="AH13" s="140">
        <f>B13+C13-AG13</f>
        <v>0</v>
      </c>
      <c r="AJ13" s="143"/>
    </row>
    <row r="14" spans="1:36" s="142" customFormat="1" ht="15.75">
      <c r="A14" s="144" t="s">
        <v>23</v>
      </c>
      <c r="B14" s="139">
        <f aca="true" t="shared" si="2" ref="B14:Z14">B10-B11-B12-B13</f>
        <v>855.4999999999985</v>
      </c>
      <c r="C14" s="139">
        <v>1314.2999999999934</v>
      </c>
      <c r="D14" s="140">
        <f t="shared" si="2"/>
        <v>0</v>
      </c>
      <c r="E14" s="140">
        <f t="shared" si="2"/>
        <v>431.7</v>
      </c>
      <c r="F14" s="140">
        <f t="shared" si="2"/>
        <v>23.300000000000026</v>
      </c>
      <c r="G14" s="140">
        <f t="shared" si="2"/>
        <v>5.399999999999977</v>
      </c>
      <c r="H14" s="140">
        <f>H10-H11-H12-H13</f>
        <v>24.299999999999997</v>
      </c>
      <c r="I14" s="140">
        <f t="shared" si="2"/>
        <v>26.1</v>
      </c>
      <c r="J14" s="140">
        <f t="shared" si="2"/>
        <v>10.5</v>
      </c>
      <c r="K14" s="140">
        <f t="shared" si="2"/>
        <v>43.200000000000045</v>
      </c>
      <c r="L14" s="140">
        <f t="shared" si="2"/>
        <v>8.5</v>
      </c>
      <c r="M14" s="140">
        <f t="shared" si="2"/>
        <v>48.5</v>
      </c>
      <c r="N14" s="140">
        <f t="shared" si="2"/>
        <v>2.1000000000000014</v>
      </c>
      <c r="O14" s="140">
        <f t="shared" si="2"/>
        <v>9</v>
      </c>
      <c r="P14" s="140">
        <f t="shared" si="2"/>
        <v>4.2</v>
      </c>
      <c r="Q14" s="140">
        <f t="shared" si="2"/>
        <v>14.700000000000003</v>
      </c>
      <c r="R14" s="140">
        <f t="shared" si="2"/>
        <v>56.3</v>
      </c>
      <c r="S14" s="140">
        <f t="shared" si="2"/>
        <v>15.3</v>
      </c>
      <c r="T14" s="140">
        <f t="shared" si="2"/>
        <v>36.4</v>
      </c>
      <c r="U14" s="140">
        <f t="shared" si="2"/>
        <v>2.6</v>
      </c>
      <c r="V14" s="140">
        <f t="shared" si="2"/>
        <v>5.699999999999955</v>
      </c>
      <c r="W14" s="140">
        <f t="shared" si="2"/>
        <v>45.60000000000002</v>
      </c>
      <c r="X14" s="140">
        <f t="shared" si="2"/>
        <v>30.5</v>
      </c>
      <c r="Y14" s="140">
        <f t="shared" si="2"/>
        <v>0.7999999999997272</v>
      </c>
      <c r="Z14" s="140">
        <f t="shared" si="2"/>
        <v>0</v>
      </c>
      <c r="AA14" s="140"/>
      <c r="AB14" s="140"/>
      <c r="AC14" s="140"/>
      <c r="AD14" s="140"/>
      <c r="AE14" s="140"/>
      <c r="AF14" s="140"/>
      <c r="AG14" s="140">
        <f t="shared" si="1"/>
        <v>844.6999999999997</v>
      </c>
      <c r="AH14" s="140">
        <f>AH10-AH11-AH12-AH13</f>
        <v>1325.099999999995</v>
      </c>
      <c r="AJ14" s="143"/>
    </row>
    <row r="15" spans="1:36" s="142" customFormat="1" ht="15" customHeight="1">
      <c r="A15" s="138" t="s">
        <v>6</v>
      </c>
      <c r="B15" s="139">
        <f>41794.5-150.9-0.2</f>
        <v>41643.4</v>
      </c>
      <c r="C15" s="139">
        <v>29268.100000000035</v>
      </c>
      <c r="D15" s="146"/>
      <c r="E15" s="146">
        <v>4031.4</v>
      </c>
      <c r="F15" s="140">
        <f>1283.3+847.7+0.2</f>
        <v>2131.2</v>
      </c>
      <c r="G15" s="140">
        <v>64.1</v>
      </c>
      <c r="H15" s="140">
        <f>956.3+88.2</f>
        <v>1044.5</v>
      </c>
      <c r="I15" s="140">
        <v>636.8</v>
      </c>
      <c r="J15" s="140">
        <f>447.5+19.9+0.1</f>
        <v>467.5</v>
      </c>
      <c r="K15" s="140">
        <f>5.4+1.9</f>
        <v>7.300000000000001</v>
      </c>
      <c r="L15" s="140">
        <f>5305.9+671.5</f>
        <v>5977.4</v>
      </c>
      <c r="M15" s="140">
        <f>4657.2</f>
        <v>4657.2</v>
      </c>
      <c r="N15" s="140">
        <v>609.8</v>
      </c>
      <c r="O15" s="140">
        <v>171.5</v>
      </c>
      <c r="P15" s="140"/>
      <c r="Q15" s="140">
        <v>5</v>
      </c>
      <c r="R15" s="140">
        <v>396</v>
      </c>
      <c r="S15" s="140">
        <v>511.7</v>
      </c>
      <c r="T15" s="140">
        <v>37</v>
      </c>
      <c r="U15" s="140">
        <v>88.3</v>
      </c>
      <c r="V15" s="140">
        <f>292.1</f>
        <v>292.1</v>
      </c>
      <c r="W15" s="140">
        <f>11209.7+764-0.3</f>
        <v>11973.400000000001</v>
      </c>
      <c r="X15" s="140">
        <v>1.9</v>
      </c>
      <c r="Y15" s="140"/>
      <c r="Z15" s="140"/>
      <c r="AA15" s="140"/>
      <c r="AB15" s="140"/>
      <c r="AC15" s="140"/>
      <c r="AD15" s="140"/>
      <c r="AE15" s="140"/>
      <c r="AF15" s="140"/>
      <c r="AG15" s="140">
        <f t="shared" si="1"/>
        <v>33104.1</v>
      </c>
      <c r="AH15" s="140">
        <f aca="true" t="shared" si="3" ref="AH15:AH31">B15+C15-AG15</f>
        <v>37807.40000000003</v>
      </c>
      <c r="AJ15" s="143"/>
    </row>
    <row r="16" spans="1:36" s="152" customFormat="1" ht="15" customHeight="1">
      <c r="A16" s="147" t="s">
        <v>38</v>
      </c>
      <c r="B16" s="148">
        <v>12081.9</v>
      </c>
      <c r="C16" s="148">
        <v>948.3000000000029</v>
      </c>
      <c r="D16" s="149"/>
      <c r="E16" s="149">
        <v>4031.4</v>
      </c>
      <c r="F16" s="150">
        <v>847.8</v>
      </c>
      <c r="G16" s="150"/>
      <c r="H16" s="150">
        <v>88.2</v>
      </c>
      <c r="I16" s="150"/>
      <c r="J16" s="150"/>
      <c r="K16" s="150"/>
      <c r="L16" s="150">
        <v>671.5</v>
      </c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>
        <v>764</v>
      </c>
      <c r="X16" s="150"/>
      <c r="Y16" s="150"/>
      <c r="Z16" s="150"/>
      <c r="AA16" s="150"/>
      <c r="AB16" s="150"/>
      <c r="AC16" s="150"/>
      <c r="AD16" s="150"/>
      <c r="AE16" s="150"/>
      <c r="AF16" s="150"/>
      <c r="AG16" s="149">
        <f t="shared" si="1"/>
        <v>6402.9</v>
      </c>
      <c r="AH16" s="149">
        <f t="shared" si="3"/>
        <v>6627.300000000003</v>
      </c>
      <c r="AI16" s="151"/>
      <c r="AJ16" s="143"/>
    </row>
    <row r="17" spans="1:36" s="142" customFormat="1" ht="15.75">
      <c r="A17" s="144" t="s">
        <v>5</v>
      </c>
      <c r="B17" s="139">
        <v>35888</v>
      </c>
      <c r="C17" s="139">
        <v>10533.559999999983</v>
      </c>
      <c r="D17" s="140"/>
      <c r="E17" s="140">
        <v>4031.4</v>
      </c>
      <c r="F17" s="140">
        <f>1107.9+847.7+0.1</f>
        <v>1955.7</v>
      </c>
      <c r="G17" s="140"/>
      <c r="H17" s="140">
        <f>42.4+88.2</f>
        <v>130.6</v>
      </c>
      <c r="I17" s="140"/>
      <c r="J17" s="140"/>
      <c r="K17" s="140"/>
      <c r="L17" s="140">
        <f>5282.4+671.4</f>
        <v>5953.799999999999</v>
      </c>
      <c r="M17" s="140">
        <v>4513.4</v>
      </c>
      <c r="N17" s="140"/>
      <c r="O17" s="140"/>
      <c r="P17" s="140"/>
      <c r="Q17" s="140"/>
      <c r="R17" s="140"/>
      <c r="S17" s="140"/>
      <c r="T17" s="140"/>
      <c r="U17" s="140"/>
      <c r="V17" s="140">
        <v>9.2</v>
      </c>
      <c r="W17" s="140">
        <f>10958.3+764</f>
        <v>11722.3</v>
      </c>
      <c r="X17" s="140"/>
      <c r="Y17" s="140"/>
      <c r="Z17" s="140"/>
      <c r="AA17" s="140"/>
      <c r="AB17" s="140"/>
      <c r="AC17" s="140"/>
      <c r="AD17" s="140"/>
      <c r="AE17" s="140"/>
      <c r="AF17" s="140"/>
      <c r="AG17" s="140">
        <f t="shared" si="1"/>
        <v>28316.4</v>
      </c>
      <c r="AH17" s="140">
        <f t="shared" si="3"/>
        <v>18105.15999999998</v>
      </c>
      <c r="AI17" s="143"/>
      <c r="AJ17" s="143"/>
    </row>
    <row r="18" spans="1:36" s="142" customFormat="1" ht="15.75">
      <c r="A18" s="144" t="s">
        <v>3</v>
      </c>
      <c r="B18" s="139"/>
      <c r="C18" s="139">
        <v>14.600000000000001</v>
      </c>
      <c r="D18" s="140"/>
      <c r="E18" s="140"/>
      <c r="F18" s="140"/>
      <c r="G18" s="140"/>
      <c r="H18" s="140"/>
      <c r="I18" s="140"/>
      <c r="J18" s="140">
        <v>0.5</v>
      </c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>
        <f t="shared" si="1"/>
        <v>0.5</v>
      </c>
      <c r="AH18" s="140">
        <f t="shared" si="3"/>
        <v>14.100000000000001</v>
      </c>
      <c r="AJ18" s="143"/>
    </row>
    <row r="19" spans="1:36" s="142" customFormat="1" ht="15.75">
      <c r="A19" s="144" t="s">
        <v>1</v>
      </c>
      <c r="B19" s="139">
        <v>693.6</v>
      </c>
      <c r="C19" s="139">
        <v>1786.9999999999982</v>
      </c>
      <c r="D19" s="140"/>
      <c r="E19" s="140"/>
      <c r="F19" s="140"/>
      <c r="G19" s="140"/>
      <c r="H19" s="140">
        <v>23.1</v>
      </c>
      <c r="I19" s="140"/>
      <c r="J19" s="140"/>
      <c r="K19" s="140"/>
      <c r="L19" s="140"/>
      <c r="M19" s="140">
        <v>10</v>
      </c>
      <c r="N19" s="140">
        <v>147.3</v>
      </c>
      <c r="O19" s="140">
        <v>70.5</v>
      </c>
      <c r="P19" s="140"/>
      <c r="Q19" s="140"/>
      <c r="R19" s="140">
        <v>98.6</v>
      </c>
      <c r="S19" s="140">
        <v>30.1</v>
      </c>
      <c r="T19" s="140"/>
      <c r="U19" s="140">
        <v>82.9</v>
      </c>
      <c r="V19" s="140">
        <v>2.2</v>
      </c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>
        <f t="shared" si="1"/>
        <v>464.7</v>
      </c>
      <c r="AH19" s="140">
        <f t="shared" si="3"/>
        <v>2015.899999999998</v>
      </c>
      <c r="AJ19" s="143"/>
    </row>
    <row r="20" spans="1:36" s="142" customFormat="1" ht="15.75">
      <c r="A20" s="144" t="s">
        <v>2</v>
      </c>
      <c r="B20" s="139">
        <v>1195.1</v>
      </c>
      <c r="C20" s="139">
        <v>7699.5</v>
      </c>
      <c r="D20" s="140"/>
      <c r="E20" s="140"/>
      <c r="F20" s="140">
        <v>114.6</v>
      </c>
      <c r="G20" s="140">
        <v>64.1</v>
      </c>
      <c r="H20" s="140">
        <v>132.5</v>
      </c>
      <c r="I20" s="140">
        <v>525.1</v>
      </c>
      <c r="J20" s="140">
        <f>375.5+19.9+0.1</f>
        <v>395.5</v>
      </c>
      <c r="K20" s="140">
        <v>1.9</v>
      </c>
      <c r="L20" s="140">
        <v>9</v>
      </c>
      <c r="M20" s="140">
        <v>29.3</v>
      </c>
      <c r="N20" s="140">
        <v>19.6</v>
      </c>
      <c r="O20" s="140"/>
      <c r="P20" s="140"/>
      <c r="Q20" s="140">
        <v>2.4</v>
      </c>
      <c r="R20" s="140">
        <v>18.2</v>
      </c>
      <c r="S20" s="140">
        <v>18.7</v>
      </c>
      <c r="T20" s="140"/>
      <c r="U20" s="140">
        <v>0.5</v>
      </c>
      <c r="V20" s="140">
        <v>37.3</v>
      </c>
      <c r="W20" s="140">
        <v>61.1</v>
      </c>
      <c r="X20" s="140">
        <v>0.1</v>
      </c>
      <c r="Y20" s="140"/>
      <c r="Z20" s="140"/>
      <c r="AA20" s="140"/>
      <c r="AB20" s="140"/>
      <c r="AC20" s="140"/>
      <c r="AD20" s="140"/>
      <c r="AE20" s="140"/>
      <c r="AF20" s="140"/>
      <c r="AG20" s="140">
        <f t="shared" si="1"/>
        <v>1429.8999999999999</v>
      </c>
      <c r="AH20" s="140">
        <f t="shared" si="3"/>
        <v>7464.700000000001</v>
      </c>
      <c r="AJ20" s="143"/>
    </row>
    <row r="21" spans="1:36" s="142" customFormat="1" ht="15.75">
      <c r="A21" s="144" t="s">
        <v>16</v>
      </c>
      <c r="B21" s="139">
        <v>961.4</v>
      </c>
      <c r="C21" s="139">
        <v>614.2999999999997</v>
      </c>
      <c r="D21" s="140"/>
      <c r="E21" s="140"/>
      <c r="F21" s="140"/>
      <c r="G21" s="140"/>
      <c r="H21" s="140">
        <f>114.8+47.6</f>
        <v>162.4</v>
      </c>
      <c r="I21" s="140"/>
      <c r="J21" s="140"/>
      <c r="K21" s="140"/>
      <c r="L21" s="140"/>
      <c r="M21" s="140">
        <f>65.2+24.1</f>
        <v>89.30000000000001</v>
      </c>
      <c r="N21" s="140"/>
      <c r="O21" s="140"/>
      <c r="P21" s="140"/>
      <c r="Q21" s="140"/>
      <c r="R21" s="140"/>
      <c r="S21" s="140">
        <v>347.4</v>
      </c>
      <c r="T21" s="140"/>
      <c r="U21" s="140"/>
      <c r="V21" s="140">
        <v>12.1</v>
      </c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>
        <f t="shared" si="1"/>
        <v>611.2</v>
      </c>
      <c r="AH21" s="140">
        <f t="shared" si="3"/>
        <v>964.4999999999998</v>
      </c>
      <c r="AJ21" s="143"/>
    </row>
    <row r="22" spans="1:36" s="142" customFormat="1" ht="15.75" hidden="1">
      <c r="A22" s="144" t="s">
        <v>15</v>
      </c>
      <c r="B22" s="153"/>
      <c r="C22" s="139">
        <v>0</v>
      </c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>
        <f t="shared" si="1"/>
        <v>0</v>
      </c>
      <c r="AH22" s="140">
        <f t="shared" si="3"/>
        <v>0</v>
      </c>
      <c r="AJ22" s="143"/>
    </row>
    <row r="23" spans="1:36" s="142" customFormat="1" ht="15.75">
      <c r="A23" s="144" t="s">
        <v>23</v>
      </c>
      <c r="B23" s="139">
        <f>B15-B17-B18-B19-B20-B21-B22</f>
        <v>2905.300000000001</v>
      </c>
      <c r="C23" s="139">
        <v>8619.1</v>
      </c>
      <c r="D23" s="140">
        <f aca="true" t="shared" si="4" ref="D23:AE23">D15-D17-D18-D19-D20-D21-D22</f>
        <v>0</v>
      </c>
      <c r="E23" s="140">
        <f t="shared" si="4"/>
        <v>0</v>
      </c>
      <c r="F23" s="140">
        <f t="shared" si="4"/>
        <v>60.89999999999978</v>
      </c>
      <c r="G23" s="140">
        <f t="shared" si="4"/>
        <v>0</v>
      </c>
      <c r="H23" s="140">
        <f>H15-H17-H18-H19-H20-H21-H22</f>
        <v>595.9</v>
      </c>
      <c r="I23" s="140">
        <f t="shared" si="4"/>
        <v>111.69999999999993</v>
      </c>
      <c r="J23" s="140">
        <f t="shared" si="4"/>
        <v>71.5</v>
      </c>
      <c r="K23" s="140">
        <f t="shared" si="4"/>
        <v>5.4</v>
      </c>
      <c r="L23" s="140">
        <f t="shared" si="4"/>
        <v>14.600000000000364</v>
      </c>
      <c r="M23" s="140">
        <f t="shared" si="4"/>
        <v>15.200000000000173</v>
      </c>
      <c r="N23" s="140">
        <f t="shared" si="4"/>
        <v>442.8999999999999</v>
      </c>
      <c r="O23" s="140">
        <f t="shared" si="4"/>
        <v>101</v>
      </c>
      <c r="P23" s="140">
        <f t="shared" si="4"/>
        <v>0</v>
      </c>
      <c r="Q23" s="140">
        <f t="shared" si="4"/>
        <v>2.6</v>
      </c>
      <c r="R23" s="140">
        <f t="shared" si="4"/>
        <v>279.2</v>
      </c>
      <c r="S23" s="140">
        <f t="shared" si="4"/>
        <v>115.5</v>
      </c>
      <c r="T23" s="140">
        <f t="shared" si="4"/>
        <v>37</v>
      </c>
      <c r="U23" s="140">
        <f t="shared" si="4"/>
        <v>4.8999999999999915</v>
      </c>
      <c r="V23" s="140">
        <f t="shared" si="4"/>
        <v>231.30000000000004</v>
      </c>
      <c r="W23" s="140">
        <f t="shared" si="4"/>
        <v>190.0000000000022</v>
      </c>
      <c r="X23" s="140">
        <f t="shared" si="4"/>
        <v>1.7999999999999998</v>
      </c>
      <c r="Y23" s="140">
        <f t="shared" si="4"/>
        <v>0</v>
      </c>
      <c r="Z23" s="140">
        <f t="shared" si="4"/>
        <v>0</v>
      </c>
      <c r="AA23" s="140">
        <f t="shared" si="4"/>
        <v>0</v>
      </c>
      <c r="AB23" s="140">
        <f t="shared" si="4"/>
        <v>0</v>
      </c>
      <c r="AC23" s="140">
        <f t="shared" si="4"/>
        <v>0</v>
      </c>
      <c r="AD23" s="140">
        <f t="shared" si="4"/>
        <v>0</v>
      </c>
      <c r="AE23" s="140">
        <f t="shared" si="4"/>
        <v>0</v>
      </c>
      <c r="AF23" s="140"/>
      <c r="AG23" s="140">
        <f>SUM(D23:AE23)</f>
        <v>2281.400000000003</v>
      </c>
      <c r="AH23" s="140">
        <f>B23+C23-AG23</f>
        <v>9242.999999999998</v>
      </c>
      <c r="AJ23" s="143"/>
    </row>
    <row r="24" spans="1:36" s="142" customFormat="1" ht="15" customHeight="1">
      <c r="A24" s="138" t="s">
        <v>7</v>
      </c>
      <c r="B24" s="139">
        <f>40230.8-580-1434.2</f>
        <v>38216.600000000006</v>
      </c>
      <c r="C24" s="139">
        <v>12878.6</v>
      </c>
      <c r="D24" s="140"/>
      <c r="E24" s="140"/>
      <c r="F24" s="140">
        <f>1150</f>
        <v>1150</v>
      </c>
      <c r="G24" s="140"/>
      <c r="H24" s="140">
        <f>954.5+699.4-0.1</f>
        <v>1653.8000000000002</v>
      </c>
      <c r="I24" s="140"/>
      <c r="J24" s="140">
        <v>0.9</v>
      </c>
      <c r="K24" s="140">
        <v>64.6</v>
      </c>
      <c r="L24" s="140">
        <f>1017.2+6668.8</f>
        <v>7686</v>
      </c>
      <c r="M24" s="140">
        <f>996.5+3982.6</f>
        <v>4979.1</v>
      </c>
      <c r="N24" s="140">
        <v>65.4</v>
      </c>
      <c r="O24" s="140"/>
      <c r="P24" s="140"/>
      <c r="Q24" s="140"/>
      <c r="R24" s="140">
        <f>153.4+595.6</f>
        <v>749</v>
      </c>
      <c r="S24" s="140">
        <v>38.8</v>
      </c>
      <c r="T24" s="140">
        <v>31.9</v>
      </c>
      <c r="U24" s="140"/>
      <c r="V24" s="140"/>
      <c r="W24" s="140">
        <f>9076.7+4026.8</f>
        <v>13103.5</v>
      </c>
      <c r="X24" s="140">
        <v>3514.7</v>
      </c>
      <c r="Y24" s="140">
        <v>46.4</v>
      </c>
      <c r="Z24" s="140"/>
      <c r="AA24" s="140"/>
      <c r="AB24" s="140"/>
      <c r="AC24" s="140"/>
      <c r="AD24" s="140"/>
      <c r="AE24" s="140"/>
      <c r="AF24" s="140"/>
      <c r="AG24" s="140">
        <f t="shared" si="1"/>
        <v>33084.1</v>
      </c>
      <c r="AH24" s="140">
        <f t="shared" si="3"/>
        <v>18011.100000000006</v>
      </c>
      <c r="AJ24" s="143"/>
    </row>
    <row r="25" spans="1:36" s="152" customFormat="1" ht="15" customHeight="1">
      <c r="A25" s="147" t="s">
        <v>39</v>
      </c>
      <c r="B25" s="148">
        <v>17137.9</v>
      </c>
      <c r="C25" s="148">
        <v>56.8</v>
      </c>
      <c r="D25" s="150"/>
      <c r="E25" s="150"/>
      <c r="F25" s="150">
        <v>1150</v>
      </c>
      <c r="G25" s="150"/>
      <c r="H25" s="150">
        <f>699.4-0.2</f>
        <v>699.1999999999999</v>
      </c>
      <c r="I25" s="150"/>
      <c r="J25" s="150">
        <v>0.9</v>
      </c>
      <c r="K25" s="150"/>
      <c r="L25" s="150">
        <v>6668.8</v>
      </c>
      <c r="M25" s="150">
        <v>3982.6</v>
      </c>
      <c r="N25" s="150"/>
      <c r="O25" s="150"/>
      <c r="P25" s="150"/>
      <c r="Q25" s="150"/>
      <c r="R25" s="150">
        <v>595.6</v>
      </c>
      <c r="S25" s="150">
        <v>38.8</v>
      </c>
      <c r="T25" s="150">
        <v>31.9</v>
      </c>
      <c r="U25" s="150"/>
      <c r="V25" s="150"/>
      <c r="W25" s="150">
        <v>4026.8</v>
      </c>
      <c r="X25" s="150"/>
      <c r="Y25" s="150">
        <v>0.1</v>
      </c>
      <c r="Z25" s="150"/>
      <c r="AA25" s="150"/>
      <c r="AB25" s="150"/>
      <c r="AC25" s="150"/>
      <c r="AD25" s="150"/>
      <c r="AE25" s="150"/>
      <c r="AF25" s="150"/>
      <c r="AG25" s="149">
        <f t="shared" si="1"/>
        <v>17194.699999999997</v>
      </c>
      <c r="AH25" s="149">
        <f t="shared" si="3"/>
        <v>0</v>
      </c>
      <c r="AI25" s="151"/>
      <c r="AJ25" s="143"/>
    </row>
    <row r="26" spans="1:36" s="142" customFormat="1" ht="15.75" hidden="1">
      <c r="A26" s="144" t="s">
        <v>5</v>
      </c>
      <c r="B26" s="139"/>
      <c r="C26" s="139">
        <v>0</v>
      </c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>
        <f t="shared" si="1"/>
        <v>0</v>
      </c>
      <c r="AH26" s="140">
        <f t="shared" si="3"/>
        <v>0</v>
      </c>
      <c r="AI26" s="143"/>
      <c r="AJ26" s="143"/>
    </row>
    <row r="27" spans="1:36" s="142" customFormat="1" ht="15.75" hidden="1">
      <c r="A27" s="144" t="s">
        <v>3</v>
      </c>
      <c r="B27" s="139"/>
      <c r="C27" s="139">
        <v>0</v>
      </c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>
        <f t="shared" si="1"/>
        <v>0</v>
      </c>
      <c r="AH27" s="140">
        <f t="shared" si="3"/>
        <v>0</v>
      </c>
      <c r="AJ27" s="143"/>
    </row>
    <row r="28" spans="1:36" s="142" customFormat="1" ht="15.75" hidden="1">
      <c r="A28" s="144" t="s">
        <v>1</v>
      </c>
      <c r="B28" s="139"/>
      <c r="C28" s="139">
        <v>0</v>
      </c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>
        <f t="shared" si="1"/>
        <v>0</v>
      </c>
      <c r="AH28" s="140">
        <f t="shared" si="3"/>
        <v>0</v>
      </c>
      <c r="AJ28" s="143"/>
    </row>
    <row r="29" spans="1:36" s="142" customFormat="1" ht="15.75" hidden="1">
      <c r="A29" s="144" t="s">
        <v>2</v>
      </c>
      <c r="B29" s="139"/>
      <c r="C29" s="139">
        <v>0</v>
      </c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>
        <f t="shared" si="1"/>
        <v>0</v>
      </c>
      <c r="AH29" s="140">
        <f t="shared" si="3"/>
        <v>0</v>
      </c>
      <c r="AJ29" s="143"/>
    </row>
    <row r="30" spans="1:36" s="142" customFormat="1" ht="15.75">
      <c r="A30" s="144" t="s">
        <v>16</v>
      </c>
      <c r="B30" s="139">
        <f>90.8+0.1</f>
        <v>90.89999999999999</v>
      </c>
      <c r="C30" s="139">
        <v>0</v>
      </c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>
        <f t="shared" si="1"/>
        <v>0</v>
      </c>
      <c r="AH30" s="140">
        <f t="shared" si="3"/>
        <v>90.89999999999999</v>
      </c>
      <c r="AJ30" s="143"/>
    </row>
    <row r="31" spans="1:36" s="142" customFormat="1" ht="15.75" hidden="1">
      <c r="A31" s="144" t="s">
        <v>15</v>
      </c>
      <c r="B31" s="139"/>
      <c r="C31" s="139">
        <v>0</v>
      </c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>
        <f t="shared" si="1"/>
        <v>0</v>
      </c>
      <c r="AH31" s="140">
        <f t="shared" si="3"/>
        <v>0</v>
      </c>
      <c r="AJ31" s="143"/>
    </row>
    <row r="32" spans="1:36" s="142" customFormat="1" ht="15.75">
      <c r="A32" s="144" t="s">
        <v>23</v>
      </c>
      <c r="B32" s="139">
        <f>B24-B30</f>
        <v>38125.700000000004</v>
      </c>
      <c r="C32" s="139">
        <v>12878.563000000016</v>
      </c>
      <c r="D32" s="140">
        <f aca="true" t="shared" si="5" ref="D32:AE32">D24-D26-D27-D28-D29-D30-D31</f>
        <v>0</v>
      </c>
      <c r="E32" s="140">
        <f t="shared" si="5"/>
        <v>0</v>
      </c>
      <c r="F32" s="140">
        <f t="shared" si="5"/>
        <v>1150</v>
      </c>
      <c r="G32" s="140">
        <f t="shared" si="5"/>
        <v>0</v>
      </c>
      <c r="H32" s="140">
        <f>H24-H26-H27-H28-H29-H30-H31</f>
        <v>1653.8000000000002</v>
      </c>
      <c r="I32" s="140">
        <f t="shared" si="5"/>
        <v>0</v>
      </c>
      <c r="J32" s="140">
        <f t="shared" si="5"/>
        <v>0.9</v>
      </c>
      <c r="K32" s="140">
        <f t="shared" si="5"/>
        <v>64.6</v>
      </c>
      <c r="L32" s="140">
        <f t="shared" si="5"/>
        <v>7686</v>
      </c>
      <c r="M32" s="140">
        <f t="shared" si="5"/>
        <v>4979.1</v>
      </c>
      <c r="N32" s="140">
        <f t="shared" si="5"/>
        <v>65.4</v>
      </c>
      <c r="O32" s="140">
        <f t="shared" si="5"/>
        <v>0</v>
      </c>
      <c r="P32" s="140">
        <f t="shared" si="5"/>
        <v>0</v>
      </c>
      <c r="Q32" s="140">
        <f t="shared" si="5"/>
        <v>0</v>
      </c>
      <c r="R32" s="140">
        <f t="shared" si="5"/>
        <v>749</v>
      </c>
      <c r="S32" s="140">
        <f t="shared" si="5"/>
        <v>38.8</v>
      </c>
      <c r="T32" s="140">
        <f t="shared" si="5"/>
        <v>31.9</v>
      </c>
      <c r="U32" s="140">
        <f t="shared" si="5"/>
        <v>0</v>
      </c>
      <c r="V32" s="140">
        <f t="shared" si="5"/>
        <v>0</v>
      </c>
      <c r="W32" s="140">
        <f t="shared" si="5"/>
        <v>13103.5</v>
      </c>
      <c r="X32" s="140">
        <f t="shared" si="5"/>
        <v>3514.7</v>
      </c>
      <c r="Y32" s="140">
        <f t="shared" si="5"/>
        <v>46.4</v>
      </c>
      <c r="Z32" s="140">
        <f t="shared" si="5"/>
        <v>0</v>
      </c>
      <c r="AA32" s="140">
        <f t="shared" si="5"/>
        <v>0</v>
      </c>
      <c r="AB32" s="140">
        <f t="shared" si="5"/>
        <v>0</v>
      </c>
      <c r="AC32" s="140">
        <f t="shared" si="5"/>
        <v>0</v>
      </c>
      <c r="AD32" s="140">
        <f t="shared" si="5"/>
        <v>0</v>
      </c>
      <c r="AE32" s="140">
        <f t="shared" si="5"/>
        <v>0</v>
      </c>
      <c r="AF32" s="140"/>
      <c r="AG32" s="140">
        <f t="shared" si="1"/>
        <v>33084.1</v>
      </c>
      <c r="AH32" s="140">
        <f>AH24-AH30</f>
        <v>17920.200000000004</v>
      </c>
      <c r="AJ32" s="143"/>
    </row>
    <row r="33" spans="1:36" s="142" customFormat="1" ht="15" customHeight="1">
      <c r="A33" s="138" t="s">
        <v>8</v>
      </c>
      <c r="B33" s="139">
        <f>2001.1+152.8</f>
        <v>2153.9</v>
      </c>
      <c r="C33" s="139">
        <v>1169.0000000000002</v>
      </c>
      <c r="D33" s="140"/>
      <c r="E33" s="140"/>
      <c r="F33" s="140"/>
      <c r="G33" s="140"/>
      <c r="H33" s="140">
        <v>647.3</v>
      </c>
      <c r="I33" s="140"/>
      <c r="J33" s="140">
        <v>146.3</v>
      </c>
      <c r="K33" s="140"/>
      <c r="L33" s="140">
        <v>976.5</v>
      </c>
      <c r="M33" s="140"/>
      <c r="N33" s="140"/>
      <c r="O33" s="140"/>
      <c r="P33" s="140"/>
      <c r="Q33" s="140">
        <v>7.7</v>
      </c>
      <c r="R33" s="140"/>
      <c r="S33" s="140"/>
      <c r="T33" s="140"/>
      <c r="U33" s="140"/>
      <c r="V33" s="140">
        <v>100</v>
      </c>
      <c r="W33" s="140">
        <v>1144.9</v>
      </c>
      <c r="X33" s="140"/>
      <c r="Y33" s="140"/>
      <c r="Z33" s="140"/>
      <c r="AA33" s="140"/>
      <c r="AB33" s="140"/>
      <c r="AC33" s="140"/>
      <c r="AD33" s="140"/>
      <c r="AE33" s="140"/>
      <c r="AF33" s="140"/>
      <c r="AG33" s="140">
        <f>SUM(D33:AE33)</f>
        <v>3022.7</v>
      </c>
      <c r="AH33" s="140">
        <f aca="true" t="shared" si="6" ref="AH33:AH38">B33+C33-AG33</f>
        <v>300.2000000000007</v>
      </c>
      <c r="AJ33" s="143"/>
    </row>
    <row r="34" spans="1:36" s="142" customFormat="1" ht="15.75">
      <c r="A34" s="144" t="s">
        <v>5</v>
      </c>
      <c r="B34" s="139">
        <v>344.2</v>
      </c>
      <c r="C34" s="139">
        <v>48.5</v>
      </c>
      <c r="D34" s="140"/>
      <c r="E34" s="140"/>
      <c r="F34" s="140"/>
      <c r="G34" s="140"/>
      <c r="H34" s="140"/>
      <c r="I34" s="140"/>
      <c r="J34" s="140"/>
      <c r="K34" s="140"/>
      <c r="L34" s="140">
        <v>121.4</v>
      </c>
      <c r="M34" s="140"/>
      <c r="N34" s="140"/>
      <c r="O34" s="140"/>
      <c r="P34" s="140"/>
      <c r="Q34" s="140"/>
      <c r="R34" s="140"/>
      <c r="S34" s="140"/>
      <c r="T34" s="140"/>
      <c r="U34" s="140"/>
      <c r="V34" s="140">
        <v>99.9</v>
      </c>
      <c r="W34" s="140">
        <v>81.4</v>
      </c>
      <c r="X34" s="140"/>
      <c r="Y34" s="140"/>
      <c r="Z34" s="140"/>
      <c r="AA34" s="140"/>
      <c r="AB34" s="140"/>
      <c r="AC34" s="140"/>
      <c r="AD34" s="140"/>
      <c r="AE34" s="140"/>
      <c r="AF34" s="140"/>
      <c r="AG34" s="140">
        <f t="shared" si="1"/>
        <v>302.70000000000005</v>
      </c>
      <c r="AH34" s="140">
        <f t="shared" si="6"/>
        <v>89.99999999999994</v>
      </c>
      <c r="AJ34" s="143"/>
    </row>
    <row r="35" spans="1:36" s="142" customFormat="1" ht="15.75">
      <c r="A35" s="144" t="s">
        <v>1</v>
      </c>
      <c r="B35" s="139"/>
      <c r="C35" s="139">
        <v>68.5</v>
      </c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>
        <v>65.9</v>
      </c>
      <c r="X35" s="140"/>
      <c r="Y35" s="140"/>
      <c r="Z35" s="140"/>
      <c r="AA35" s="140"/>
      <c r="AB35" s="140"/>
      <c r="AC35" s="140"/>
      <c r="AD35" s="140"/>
      <c r="AE35" s="140"/>
      <c r="AF35" s="140"/>
      <c r="AG35" s="140">
        <f t="shared" si="1"/>
        <v>65.9</v>
      </c>
      <c r="AH35" s="140">
        <f t="shared" si="6"/>
        <v>2.5999999999999943</v>
      </c>
      <c r="AJ35" s="143"/>
    </row>
    <row r="36" spans="1:36" s="142" customFormat="1" ht="15.75">
      <c r="A36" s="144" t="s">
        <v>2</v>
      </c>
      <c r="B36" s="153">
        <v>4.2</v>
      </c>
      <c r="C36" s="139">
        <v>70.4</v>
      </c>
      <c r="D36" s="140"/>
      <c r="E36" s="140"/>
      <c r="F36" s="140"/>
      <c r="G36" s="140"/>
      <c r="H36" s="140"/>
      <c r="I36" s="140"/>
      <c r="J36" s="140"/>
      <c r="K36" s="140"/>
      <c r="L36" s="140">
        <v>0.9</v>
      </c>
      <c r="M36" s="140"/>
      <c r="N36" s="140"/>
      <c r="O36" s="140"/>
      <c r="P36" s="140"/>
      <c r="Q36" s="140">
        <v>4.6</v>
      </c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>
        <f t="shared" si="1"/>
        <v>5.5</v>
      </c>
      <c r="AH36" s="140">
        <f t="shared" si="6"/>
        <v>69.10000000000001</v>
      </c>
      <c r="AJ36" s="143"/>
    </row>
    <row r="37" spans="1:36" s="142" customFormat="1" ht="15.75">
      <c r="A37" s="144" t="s">
        <v>16</v>
      </c>
      <c r="B37" s="139">
        <f>1567.5+152.8</f>
        <v>1720.3</v>
      </c>
      <c r="C37" s="139">
        <v>768</v>
      </c>
      <c r="D37" s="140"/>
      <c r="E37" s="140"/>
      <c r="F37" s="140"/>
      <c r="G37" s="140"/>
      <c r="H37" s="140">
        <v>494.9</v>
      </c>
      <c r="I37" s="140"/>
      <c r="J37" s="140">
        <v>146.2</v>
      </c>
      <c r="K37" s="140"/>
      <c r="L37" s="140">
        <v>852.5</v>
      </c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>
        <v>994.7</v>
      </c>
      <c r="X37" s="140"/>
      <c r="Y37" s="140"/>
      <c r="Z37" s="140"/>
      <c r="AA37" s="140"/>
      <c r="AB37" s="140"/>
      <c r="AC37" s="140"/>
      <c r="AD37" s="140"/>
      <c r="AE37" s="140"/>
      <c r="AF37" s="140"/>
      <c r="AG37" s="140">
        <f t="shared" si="1"/>
        <v>2488.3</v>
      </c>
      <c r="AH37" s="140">
        <f t="shared" si="6"/>
        <v>0</v>
      </c>
      <c r="AJ37" s="143"/>
    </row>
    <row r="38" spans="1:36" s="142" customFormat="1" ht="15.75" hidden="1">
      <c r="A38" s="144" t="s">
        <v>15</v>
      </c>
      <c r="B38" s="139"/>
      <c r="C38" s="139">
        <v>0</v>
      </c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>
        <f t="shared" si="1"/>
        <v>0</v>
      </c>
      <c r="AH38" s="140">
        <f t="shared" si="6"/>
        <v>0</v>
      </c>
      <c r="AJ38" s="143"/>
    </row>
    <row r="39" spans="1:36" s="142" customFormat="1" ht="15.75">
      <c r="A39" s="144" t="s">
        <v>23</v>
      </c>
      <c r="B39" s="139">
        <f aca="true" t="shared" si="7" ref="B39:AE39">B33-B34-B36-B38-B37-B35</f>
        <v>85.20000000000005</v>
      </c>
      <c r="C39" s="139">
        <v>213.60000000000014</v>
      </c>
      <c r="D39" s="140">
        <f t="shared" si="7"/>
        <v>0</v>
      </c>
      <c r="E39" s="140">
        <f t="shared" si="7"/>
        <v>0</v>
      </c>
      <c r="F39" s="140">
        <f t="shared" si="7"/>
        <v>0</v>
      </c>
      <c r="G39" s="140">
        <f t="shared" si="7"/>
        <v>0</v>
      </c>
      <c r="H39" s="140">
        <f>H33-H34-H36-H38-H37-H35</f>
        <v>152.39999999999998</v>
      </c>
      <c r="I39" s="140">
        <f t="shared" si="7"/>
        <v>0</v>
      </c>
      <c r="J39" s="140">
        <f t="shared" si="7"/>
        <v>0.10000000000002274</v>
      </c>
      <c r="K39" s="140">
        <f t="shared" si="7"/>
        <v>0</v>
      </c>
      <c r="L39" s="140">
        <f t="shared" si="7"/>
        <v>1.7000000000000455</v>
      </c>
      <c r="M39" s="140">
        <f t="shared" si="7"/>
        <v>0</v>
      </c>
      <c r="N39" s="140">
        <f t="shared" si="7"/>
        <v>0</v>
      </c>
      <c r="O39" s="140">
        <f t="shared" si="7"/>
        <v>0</v>
      </c>
      <c r="P39" s="140">
        <f t="shared" si="7"/>
        <v>0</v>
      </c>
      <c r="Q39" s="140">
        <f t="shared" si="7"/>
        <v>3.1000000000000005</v>
      </c>
      <c r="R39" s="140">
        <f t="shared" si="7"/>
        <v>0</v>
      </c>
      <c r="S39" s="140">
        <f t="shared" si="7"/>
        <v>0</v>
      </c>
      <c r="T39" s="140">
        <f t="shared" si="7"/>
        <v>0</v>
      </c>
      <c r="U39" s="140">
        <f t="shared" si="7"/>
        <v>0</v>
      </c>
      <c r="V39" s="140">
        <f t="shared" si="7"/>
        <v>0.09999999999999432</v>
      </c>
      <c r="W39" s="140">
        <f t="shared" si="7"/>
        <v>2.899999999999949</v>
      </c>
      <c r="X39" s="140">
        <f t="shared" si="7"/>
        <v>0</v>
      </c>
      <c r="Y39" s="140">
        <f t="shared" si="7"/>
        <v>0</v>
      </c>
      <c r="Z39" s="140">
        <f t="shared" si="7"/>
        <v>0</v>
      </c>
      <c r="AA39" s="140">
        <f t="shared" si="7"/>
        <v>0</v>
      </c>
      <c r="AB39" s="140">
        <f t="shared" si="7"/>
        <v>0</v>
      </c>
      <c r="AC39" s="140">
        <f t="shared" si="7"/>
        <v>0</v>
      </c>
      <c r="AD39" s="140">
        <f t="shared" si="7"/>
        <v>0</v>
      </c>
      <c r="AE39" s="140">
        <f t="shared" si="7"/>
        <v>0</v>
      </c>
      <c r="AF39" s="140"/>
      <c r="AG39" s="140">
        <f t="shared" si="1"/>
        <v>160.29999999999998</v>
      </c>
      <c r="AH39" s="140">
        <f>AH33-AH34-AH36-AH38-AH35-AH37</f>
        <v>138.50000000000077</v>
      </c>
      <c r="AJ39" s="143"/>
    </row>
    <row r="40" spans="1:36" s="142" customFormat="1" ht="15" customHeight="1">
      <c r="A40" s="138" t="s">
        <v>29</v>
      </c>
      <c r="B40" s="139">
        <f>1347.9+32.7</f>
        <v>1380.6000000000001</v>
      </c>
      <c r="C40" s="139">
        <v>323.5</v>
      </c>
      <c r="D40" s="140"/>
      <c r="E40" s="140"/>
      <c r="F40" s="140">
        <v>39.3</v>
      </c>
      <c r="G40" s="140"/>
      <c r="H40" s="140"/>
      <c r="I40" s="140"/>
      <c r="J40" s="140"/>
      <c r="K40" s="140"/>
      <c r="L40" s="140">
        <v>521.8</v>
      </c>
      <c r="M40" s="140"/>
      <c r="N40" s="140">
        <v>15.3</v>
      </c>
      <c r="O40" s="140">
        <v>8.4</v>
      </c>
      <c r="P40" s="140"/>
      <c r="Q40" s="140"/>
      <c r="R40" s="140"/>
      <c r="S40" s="140"/>
      <c r="T40" s="140"/>
      <c r="U40" s="140"/>
      <c r="V40" s="140"/>
      <c r="W40" s="140">
        <v>811.7</v>
      </c>
      <c r="X40" s="140"/>
      <c r="Y40" s="140"/>
      <c r="Z40" s="140"/>
      <c r="AA40" s="140"/>
      <c r="AB40" s="140"/>
      <c r="AC40" s="140"/>
      <c r="AD40" s="140"/>
      <c r="AE40" s="140"/>
      <c r="AF40" s="140"/>
      <c r="AG40" s="140">
        <f t="shared" si="1"/>
        <v>1396.5</v>
      </c>
      <c r="AH40" s="140">
        <f aca="true" t="shared" si="8" ref="AH40:AH45">B40+C40-AG40</f>
        <v>307.60000000000014</v>
      </c>
      <c r="AJ40" s="143"/>
    </row>
    <row r="41" spans="1:36" s="142" customFormat="1" ht="15.75">
      <c r="A41" s="144" t="s">
        <v>5</v>
      </c>
      <c r="B41" s="139">
        <v>1299.1</v>
      </c>
      <c r="C41" s="139">
        <v>102.9</v>
      </c>
      <c r="D41" s="140"/>
      <c r="E41" s="140"/>
      <c r="F41" s="140"/>
      <c r="G41" s="140"/>
      <c r="H41" s="140"/>
      <c r="I41" s="140"/>
      <c r="J41" s="140"/>
      <c r="K41" s="140"/>
      <c r="L41" s="140">
        <v>495.5</v>
      </c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>
        <v>806.4</v>
      </c>
      <c r="X41" s="140"/>
      <c r="Y41" s="140"/>
      <c r="Z41" s="140"/>
      <c r="AA41" s="140"/>
      <c r="AB41" s="140"/>
      <c r="AC41" s="140"/>
      <c r="AD41" s="140"/>
      <c r="AE41" s="140"/>
      <c r="AF41" s="140"/>
      <c r="AG41" s="140">
        <f t="shared" si="1"/>
        <v>1301.9</v>
      </c>
      <c r="AH41" s="140">
        <f t="shared" si="8"/>
        <v>100.09999999999991</v>
      </c>
      <c r="AI41" s="143"/>
      <c r="AJ41" s="143"/>
    </row>
    <row r="42" spans="1:36" s="142" customFormat="1" ht="15.75">
      <c r="A42" s="144" t="s">
        <v>3</v>
      </c>
      <c r="B42" s="139"/>
      <c r="C42" s="139">
        <v>0.9</v>
      </c>
      <c r="D42" s="140"/>
      <c r="E42" s="140"/>
      <c r="F42" s="140">
        <v>0.9</v>
      </c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>
        <f t="shared" si="1"/>
        <v>0.9</v>
      </c>
      <c r="AH42" s="140">
        <f t="shared" si="8"/>
        <v>0</v>
      </c>
      <c r="AJ42" s="143"/>
    </row>
    <row r="43" spans="1:36" s="142" customFormat="1" ht="15.75">
      <c r="A43" s="144" t="s">
        <v>1</v>
      </c>
      <c r="B43" s="139">
        <v>9.3</v>
      </c>
      <c r="C43" s="139">
        <v>4.0000000000000036</v>
      </c>
      <c r="D43" s="140"/>
      <c r="E43" s="140"/>
      <c r="F43" s="140"/>
      <c r="G43" s="140"/>
      <c r="H43" s="140"/>
      <c r="I43" s="140"/>
      <c r="J43" s="140"/>
      <c r="K43" s="140"/>
      <c r="L43" s="140">
        <v>8.1</v>
      </c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>
        <f t="shared" si="1"/>
        <v>8.1</v>
      </c>
      <c r="AH43" s="140">
        <f t="shared" si="8"/>
        <v>5.200000000000005</v>
      </c>
      <c r="AJ43" s="143"/>
    </row>
    <row r="44" spans="1:36" s="142" customFormat="1" ht="15.75">
      <c r="A44" s="144" t="s">
        <v>2</v>
      </c>
      <c r="B44" s="139">
        <v>8.2</v>
      </c>
      <c r="C44" s="139">
        <v>164.90000000000006</v>
      </c>
      <c r="D44" s="140"/>
      <c r="E44" s="140"/>
      <c r="F44" s="140">
        <v>4</v>
      </c>
      <c r="G44" s="140"/>
      <c r="H44" s="140"/>
      <c r="I44" s="140"/>
      <c r="J44" s="140"/>
      <c r="K44" s="140"/>
      <c r="L44" s="140"/>
      <c r="M44" s="140"/>
      <c r="N44" s="140"/>
      <c r="O44" s="140">
        <v>8.4</v>
      </c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>
        <f t="shared" si="1"/>
        <v>12.4</v>
      </c>
      <c r="AH44" s="140">
        <f t="shared" si="8"/>
        <v>160.70000000000005</v>
      </c>
      <c r="AJ44" s="143"/>
    </row>
    <row r="45" spans="1:36" s="142" customFormat="1" ht="15.75" hidden="1">
      <c r="A45" s="144" t="s">
        <v>15</v>
      </c>
      <c r="B45" s="139"/>
      <c r="C45" s="139">
        <v>0</v>
      </c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>
        <f t="shared" si="1"/>
        <v>0</v>
      </c>
      <c r="AH45" s="140">
        <f t="shared" si="8"/>
        <v>0</v>
      </c>
      <c r="AJ45" s="143"/>
    </row>
    <row r="46" spans="1:36" s="142" customFormat="1" ht="15.75">
      <c r="A46" s="144" t="s">
        <v>23</v>
      </c>
      <c r="B46" s="139">
        <f aca="true" t="shared" si="9" ref="B46:AE46">B40-B41-B42-B43-B44-B45</f>
        <v>64.00000000000023</v>
      </c>
      <c r="C46" s="139">
        <v>50.80000000000052</v>
      </c>
      <c r="D46" s="140">
        <f t="shared" si="9"/>
        <v>0</v>
      </c>
      <c r="E46" s="140">
        <f t="shared" si="9"/>
        <v>0</v>
      </c>
      <c r="F46" s="140">
        <f t="shared" si="9"/>
        <v>34.4</v>
      </c>
      <c r="G46" s="140">
        <f t="shared" si="9"/>
        <v>0</v>
      </c>
      <c r="H46" s="140">
        <f>H40-H41-H42-H43-H44-H45</f>
        <v>0</v>
      </c>
      <c r="I46" s="140">
        <f t="shared" si="9"/>
        <v>0</v>
      </c>
      <c r="J46" s="140">
        <f t="shared" si="9"/>
        <v>0</v>
      </c>
      <c r="K46" s="140">
        <f t="shared" si="9"/>
        <v>0</v>
      </c>
      <c r="L46" s="140">
        <f t="shared" si="9"/>
        <v>18.199999999999953</v>
      </c>
      <c r="M46" s="140">
        <f t="shared" si="9"/>
        <v>0</v>
      </c>
      <c r="N46" s="140">
        <f t="shared" si="9"/>
        <v>15.3</v>
      </c>
      <c r="O46" s="140">
        <f t="shared" si="9"/>
        <v>0</v>
      </c>
      <c r="P46" s="140">
        <f t="shared" si="9"/>
        <v>0</v>
      </c>
      <c r="Q46" s="140">
        <f t="shared" si="9"/>
        <v>0</v>
      </c>
      <c r="R46" s="140">
        <f t="shared" si="9"/>
        <v>0</v>
      </c>
      <c r="S46" s="140">
        <f t="shared" si="9"/>
        <v>0</v>
      </c>
      <c r="T46" s="140">
        <f t="shared" si="9"/>
        <v>0</v>
      </c>
      <c r="U46" s="140">
        <f t="shared" si="9"/>
        <v>0</v>
      </c>
      <c r="V46" s="140">
        <f t="shared" si="9"/>
        <v>0</v>
      </c>
      <c r="W46" s="140">
        <f t="shared" si="9"/>
        <v>5.300000000000068</v>
      </c>
      <c r="X46" s="140">
        <f t="shared" si="9"/>
        <v>0</v>
      </c>
      <c r="Y46" s="140">
        <f t="shared" si="9"/>
        <v>0</v>
      </c>
      <c r="Z46" s="140">
        <f t="shared" si="9"/>
        <v>0</v>
      </c>
      <c r="AA46" s="140">
        <f t="shared" si="9"/>
        <v>0</v>
      </c>
      <c r="AB46" s="140">
        <f t="shared" si="9"/>
        <v>0</v>
      </c>
      <c r="AC46" s="140">
        <f t="shared" si="9"/>
        <v>0</v>
      </c>
      <c r="AD46" s="140">
        <f t="shared" si="9"/>
        <v>0</v>
      </c>
      <c r="AE46" s="140">
        <f t="shared" si="9"/>
        <v>0</v>
      </c>
      <c r="AF46" s="140"/>
      <c r="AG46" s="140">
        <f t="shared" si="1"/>
        <v>73.20000000000002</v>
      </c>
      <c r="AH46" s="140">
        <f>AH40-AH41-AH42-AH43-AH44-AH45</f>
        <v>41.600000000000165</v>
      </c>
      <c r="AJ46" s="143"/>
    </row>
    <row r="47" spans="1:36" s="142" customFormat="1" ht="17.25" customHeight="1">
      <c r="A47" s="138" t="s">
        <v>43</v>
      </c>
      <c r="B47" s="145">
        <v>5956.1</v>
      </c>
      <c r="C47" s="139">
        <f>2988.9+124.2</f>
        <v>3113.1</v>
      </c>
      <c r="D47" s="140"/>
      <c r="E47" s="154">
        <v>53.2</v>
      </c>
      <c r="F47" s="154">
        <v>1580.1</v>
      </c>
      <c r="G47" s="154"/>
      <c r="H47" s="154">
        <v>1.8</v>
      </c>
      <c r="I47" s="154">
        <v>275.5</v>
      </c>
      <c r="J47" s="154">
        <v>317</v>
      </c>
      <c r="K47" s="154">
        <v>1.4</v>
      </c>
      <c r="L47" s="154">
        <v>24.8</v>
      </c>
      <c r="M47" s="154">
        <v>61.7</v>
      </c>
      <c r="N47" s="154">
        <v>64.6</v>
      </c>
      <c r="O47" s="154">
        <v>204.3</v>
      </c>
      <c r="P47" s="154">
        <v>1642.8</v>
      </c>
      <c r="Q47" s="154">
        <v>28.7</v>
      </c>
      <c r="R47" s="154">
        <v>69.7</v>
      </c>
      <c r="S47" s="154"/>
      <c r="T47" s="154">
        <v>68.1</v>
      </c>
      <c r="U47" s="154">
        <v>104.5</v>
      </c>
      <c r="V47" s="154">
        <v>15</v>
      </c>
      <c r="W47" s="154">
        <v>43.1</v>
      </c>
      <c r="X47" s="154">
        <f>17.1+2.4</f>
        <v>19.5</v>
      </c>
      <c r="Y47" s="154">
        <v>44.5</v>
      </c>
      <c r="Z47" s="154"/>
      <c r="AA47" s="154"/>
      <c r="AB47" s="154"/>
      <c r="AC47" s="154"/>
      <c r="AD47" s="154"/>
      <c r="AE47" s="154"/>
      <c r="AF47" s="154"/>
      <c r="AG47" s="140">
        <f t="shared" si="1"/>
        <v>4620.3</v>
      </c>
      <c r="AH47" s="140">
        <f>B47+C47-AG47</f>
        <v>4448.900000000001</v>
      </c>
      <c r="AJ47" s="143"/>
    </row>
    <row r="48" spans="1:36" s="142" customFormat="1" ht="15.75">
      <c r="A48" s="144" t="s">
        <v>5</v>
      </c>
      <c r="B48" s="139">
        <v>54.4</v>
      </c>
      <c r="C48" s="139">
        <v>104.30000000000004</v>
      </c>
      <c r="D48" s="140"/>
      <c r="E48" s="154"/>
      <c r="F48" s="154"/>
      <c r="G48" s="154"/>
      <c r="H48" s="154"/>
      <c r="I48" s="154"/>
      <c r="J48" s="154"/>
      <c r="K48" s="154"/>
      <c r="L48" s="154"/>
      <c r="M48" s="154"/>
      <c r="N48" s="154">
        <v>24.8</v>
      </c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>
        <v>29.6</v>
      </c>
      <c r="Z48" s="154"/>
      <c r="AA48" s="154"/>
      <c r="AB48" s="154"/>
      <c r="AC48" s="154"/>
      <c r="AD48" s="154"/>
      <c r="AE48" s="154"/>
      <c r="AF48" s="154"/>
      <c r="AG48" s="140">
        <f t="shared" si="1"/>
        <v>54.400000000000006</v>
      </c>
      <c r="AH48" s="140">
        <f>B48+C48-AG48</f>
        <v>104.30000000000004</v>
      </c>
      <c r="AJ48" s="143"/>
    </row>
    <row r="49" spans="1:36" s="142" customFormat="1" ht="15.75">
      <c r="A49" s="144" t="s">
        <v>16</v>
      </c>
      <c r="B49" s="139">
        <f>7410.5-112-2000</f>
        <v>5298.5</v>
      </c>
      <c r="C49" s="139">
        <v>2121.5000000000036</v>
      </c>
      <c r="D49" s="140"/>
      <c r="E49" s="140"/>
      <c r="F49" s="140">
        <v>1559.4</v>
      </c>
      <c r="G49" s="140"/>
      <c r="H49" s="140">
        <v>1.8</v>
      </c>
      <c r="I49" s="140">
        <f>223.8+10+38.2</f>
        <v>272</v>
      </c>
      <c r="J49" s="140">
        <v>307.1</v>
      </c>
      <c r="K49" s="140">
        <v>1.4</v>
      </c>
      <c r="L49" s="140">
        <v>24.8</v>
      </c>
      <c r="M49" s="140">
        <v>61.7</v>
      </c>
      <c r="N49" s="140">
        <v>20.4</v>
      </c>
      <c r="O49" s="140">
        <v>193</v>
      </c>
      <c r="P49" s="140">
        <v>1642.8</v>
      </c>
      <c r="Q49" s="140">
        <v>28.7</v>
      </c>
      <c r="R49" s="140">
        <v>69.7</v>
      </c>
      <c r="S49" s="140"/>
      <c r="T49" s="140">
        <v>9.6</v>
      </c>
      <c r="U49" s="140">
        <v>104.5</v>
      </c>
      <c r="V49" s="140">
        <v>15</v>
      </c>
      <c r="W49" s="140">
        <v>15.5</v>
      </c>
      <c r="X49" s="140">
        <v>17.1</v>
      </c>
      <c r="Y49" s="140">
        <v>15</v>
      </c>
      <c r="Z49" s="140"/>
      <c r="AA49" s="140"/>
      <c r="AB49" s="140"/>
      <c r="AC49" s="140"/>
      <c r="AD49" s="140"/>
      <c r="AE49" s="140"/>
      <c r="AF49" s="140"/>
      <c r="AG49" s="140">
        <f t="shared" si="1"/>
        <v>4359.500000000001</v>
      </c>
      <c r="AH49" s="140">
        <f>B49+C49-AG49</f>
        <v>3060.5000000000027</v>
      </c>
      <c r="AJ49" s="143"/>
    </row>
    <row r="50" spans="1:36" s="142" customFormat="1" ht="30" hidden="1">
      <c r="A50" s="155" t="s">
        <v>34</v>
      </c>
      <c r="B50" s="139"/>
      <c r="C50" s="139">
        <v>0</v>
      </c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>
        <f t="shared" si="1"/>
        <v>0</v>
      </c>
      <c r="AH50" s="140">
        <f>B50+C50-AG50</f>
        <v>0</v>
      </c>
      <c r="AJ50" s="143"/>
    </row>
    <row r="51" spans="1:36" s="142" customFormat="1" ht="15.75">
      <c r="A51" s="156" t="s">
        <v>23</v>
      </c>
      <c r="B51" s="139">
        <f aca="true" t="shared" si="10" ref="B51:AE51">B47-B48-B49</f>
        <v>603.2000000000007</v>
      </c>
      <c r="C51" s="139">
        <v>763.1</v>
      </c>
      <c r="D51" s="140">
        <f t="shared" si="10"/>
        <v>0</v>
      </c>
      <c r="E51" s="140">
        <f t="shared" si="10"/>
        <v>53.2</v>
      </c>
      <c r="F51" s="140">
        <f t="shared" si="10"/>
        <v>20.699999999999818</v>
      </c>
      <c r="G51" s="140">
        <f t="shared" si="10"/>
        <v>0</v>
      </c>
      <c r="H51" s="140">
        <f>H47-H48-H49</f>
        <v>0</v>
      </c>
      <c r="I51" s="140">
        <f t="shared" si="10"/>
        <v>3.5</v>
      </c>
      <c r="J51" s="140">
        <f t="shared" si="10"/>
        <v>9.899999999999977</v>
      </c>
      <c r="K51" s="140">
        <f t="shared" si="10"/>
        <v>0</v>
      </c>
      <c r="L51" s="140">
        <f t="shared" si="10"/>
        <v>0</v>
      </c>
      <c r="M51" s="140">
        <f t="shared" si="10"/>
        <v>0</v>
      </c>
      <c r="N51" s="140">
        <f t="shared" si="10"/>
        <v>19.4</v>
      </c>
      <c r="O51" s="140">
        <f t="shared" si="10"/>
        <v>11.300000000000011</v>
      </c>
      <c r="P51" s="140">
        <f t="shared" si="10"/>
        <v>0</v>
      </c>
      <c r="Q51" s="140">
        <f t="shared" si="10"/>
        <v>0</v>
      </c>
      <c r="R51" s="140">
        <f t="shared" si="10"/>
        <v>0</v>
      </c>
      <c r="S51" s="140">
        <f t="shared" si="10"/>
        <v>0</v>
      </c>
      <c r="T51" s="140">
        <f t="shared" si="10"/>
        <v>58.49999999999999</v>
      </c>
      <c r="U51" s="140">
        <f t="shared" si="10"/>
        <v>0</v>
      </c>
      <c r="V51" s="140">
        <f t="shared" si="10"/>
        <v>0</v>
      </c>
      <c r="W51" s="140">
        <f t="shared" si="10"/>
        <v>27.6</v>
      </c>
      <c r="X51" s="140">
        <f t="shared" si="10"/>
        <v>2.3999999999999986</v>
      </c>
      <c r="Y51" s="140">
        <f t="shared" si="10"/>
        <v>-0.10000000000000142</v>
      </c>
      <c r="Z51" s="140">
        <f t="shared" si="10"/>
        <v>0</v>
      </c>
      <c r="AA51" s="140">
        <f t="shared" si="10"/>
        <v>0</v>
      </c>
      <c r="AB51" s="140">
        <f t="shared" si="10"/>
        <v>0</v>
      </c>
      <c r="AC51" s="140">
        <f t="shared" si="10"/>
        <v>0</v>
      </c>
      <c r="AD51" s="140">
        <f t="shared" si="10"/>
        <v>0</v>
      </c>
      <c r="AE51" s="140">
        <f t="shared" si="10"/>
        <v>0</v>
      </c>
      <c r="AF51" s="140"/>
      <c r="AG51" s="140">
        <f t="shared" si="1"/>
        <v>206.3999999999998</v>
      </c>
      <c r="AH51" s="140">
        <f>AH47-AH49-AH48</f>
        <v>1284.0999999999979</v>
      </c>
      <c r="AJ51" s="143"/>
    </row>
    <row r="52" spans="1:36" s="142" customFormat="1" ht="15" customHeight="1">
      <c r="A52" s="138" t="s">
        <v>0</v>
      </c>
      <c r="B52" s="139">
        <f>12178.3-243-100+2000-514-700</f>
        <v>12621.3</v>
      </c>
      <c r="C52" s="139">
        <v>2986.9999999999973</v>
      </c>
      <c r="D52" s="140"/>
      <c r="E52" s="140">
        <v>83.7</v>
      </c>
      <c r="F52" s="140">
        <v>1947.1</v>
      </c>
      <c r="G52" s="140">
        <v>120.8</v>
      </c>
      <c r="H52" s="140">
        <v>2138.3</v>
      </c>
      <c r="I52" s="140">
        <v>316.7</v>
      </c>
      <c r="J52" s="140">
        <v>8.7</v>
      </c>
      <c r="K52" s="140">
        <v>5.2</v>
      </c>
      <c r="L52" s="140">
        <v>1499.8</v>
      </c>
      <c r="M52" s="140">
        <v>122.3</v>
      </c>
      <c r="N52" s="140">
        <v>322.5</v>
      </c>
      <c r="O52" s="140"/>
      <c r="P52" s="140"/>
      <c r="Q52" s="140">
        <v>1155.2</v>
      </c>
      <c r="R52" s="140">
        <v>3979.5</v>
      </c>
      <c r="S52" s="140"/>
      <c r="T52" s="140">
        <v>154.8</v>
      </c>
      <c r="U52" s="140"/>
      <c r="V52" s="140">
        <v>10.6</v>
      </c>
      <c r="W52" s="140">
        <f>1044.8-0.2</f>
        <v>1044.6</v>
      </c>
      <c r="X52" s="140"/>
      <c r="Y52" s="140"/>
      <c r="Z52" s="140"/>
      <c r="AA52" s="140"/>
      <c r="AB52" s="140"/>
      <c r="AC52" s="140"/>
      <c r="AD52" s="140"/>
      <c r="AE52" s="140"/>
      <c r="AF52" s="140"/>
      <c r="AG52" s="140">
        <f t="shared" si="1"/>
        <v>12909.8</v>
      </c>
      <c r="AH52" s="140">
        <f aca="true" t="shared" si="11" ref="AH52:AH59">B52+C52-AG52</f>
        <v>2698.4999999999964</v>
      </c>
      <c r="AJ52" s="143"/>
    </row>
    <row r="53" spans="1:36" s="142" customFormat="1" ht="15" customHeight="1">
      <c r="A53" s="144" t="s">
        <v>2</v>
      </c>
      <c r="B53" s="139">
        <f>1788.5-114-700</f>
        <v>974.5</v>
      </c>
      <c r="C53" s="139">
        <v>74.59999999999945</v>
      </c>
      <c r="D53" s="140"/>
      <c r="E53" s="140">
        <v>83.7</v>
      </c>
      <c r="F53" s="140">
        <v>677.1</v>
      </c>
      <c r="G53" s="140">
        <v>35.3</v>
      </c>
      <c r="H53" s="140"/>
      <c r="I53" s="140">
        <v>47.9</v>
      </c>
      <c r="J53" s="140">
        <v>8.7</v>
      </c>
      <c r="K53" s="140"/>
      <c r="L53" s="140"/>
      <c r="M53" s="140">
        <v>62.1</v>
      </c>
      <c r="N53" s="140"/>
      <c r="O53" s="140"/>
      <c r="P53" s="140"/>
      <c r="Q53" s="140"/>
      <c r="R53" s="140"/>
      <c r="S53" s="140"/>
      <c r="T53" s="140">
        <v>35</v>
      </c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>
        <f t="shared" si="1"/>
        <v>949.8000000000001</v>
      </c>
      <c r="AH53" s="140">
        <f t="shared" si="11"/>
        <v>99.29999999999939</v>
      </c>
      <c r="AJ53" s="143"/>
    </row>
    <row r="54" spans="1:36" s="142" customFormat="1" ht="15" customHeight="1">
      <c r="A54" s="138" t="s">
        <v>9</v>
      </c>
      <c r="B54" s="153">
        <f>1909.6+16.9+150.8</f>
        <v>2077.3</v>
      </c>
      <c r="C54" s="139">
        <v>1168.1999999999998</v>
      </c>
      <c r="D54" s="140"/>
      <c r="E54" s="140">
        <v>185.8</v>
      </c>
      <c r="F54" s="140">
        <v>4.3</v>
      </c>
      <c r="G54" s="140">
        <v>148.9</v>
      </c>
      <c r="H54" s="140"/>
      <c r="I54" s="140">
        <v>148.4</v>
      </c>
      <c r="J54" s="140"/>
      <c r="K54" s="140"/>
      <c r="L54" s="140">
        <v>519.2</v>
      </c>
      <c r="M54" s="140">
        <v>43</v>
      </c>
      <c r="N54" s="140"/>
      <c r="O54" s="140"/>
      <c r="P54" s="140">
        <v>137</v>
      </c>
      <c r="Q54" s="140">
        <v>77.9</v>
      </c>
      <c r="R54" s="140">
        <v>36.8</v>
      </c>
      <c r="S54" s="140"/>
      <c r="T54" s="140"/>
      <c r="U54" s="140">
        <v>34</v>
      </c>
      <c r="V54" s="140"/>
      <c r="W54" s="140">
        <v>795.3</v>
      </c>
      <c r="X54" s="140"/>
      <c r="Y54" s="140">
        <v>15.1</v>
      </c>
      <c r="Z54" s="140"/>
      <c r="AA54" s="140"/>
      <c r="AB54" s="140"/>
      <c r="AC54" s="140"/>
      <c r="AD54" s="140"/>
      <c r="AE54" s="140"/>
      <c r="AF54" s="140"/>
      <c r="AG54" s="140">
        <f t="shared" si="1"/>
        <v>2145.7</v>
      </c>
      <c r="AH54" s="140">
        <f t="shared" si="11"/>
        <v>1099.8000000000002</v>
      </c>
      <c r="AI54" s="143"/>
      <c r="AJ54" s="143"/>
    </row>
    <row r="55" spans="1:36" s="142" customFormat="1" ht="15.75">
      <c r="A55" s="144" t="s">
        <v>5</v>
      </c>
      <c r="B55" s="139">
        <v>1306.1</v>
      </c>
      <c r="C55" s="139">
        <v>236.39999999999986</v>
      </c>
      <c r="D55" s="140"/>
      <c r="E55" s="140"/>
      <c r="F55" s="140">
        <v>4.3</v>
      </c>
      <c r="G55" s="140"/>
      <c r="H55" s="140"/>
      <c r="I55" s="140">
        <v>120.7</v>
      </c>
      <c r="J55" s="140"/>
      <c r="K55" s="140"/>
      <c r="L55" s="140">
        <v>413.2</v>
      </c>
      <c r="M55" s="140">
        <v>43</v>
      </c>
      <c r="N55" s="140"/>
      <c r="O55" s="140"/>
      <c r="P55" s="140"/>
      <c r="Q55" s="140"/>
      <c r="R55" s="140"/>
      <c r="S55" s="140"/>
      <c r="T55" s="140"/>
      <c r="U55" s="140"/>
      <c r="V55" s="140"/>
      <c r="W55" s="140">
        <v>786.8</v>
      </c>
      <c r="X55" s="140"/>
      <c r="Y55" s="140"/>
      <c r="Z55" s="140"/>
      <c r="AA55" s="140"/>
      <c r="AB55" s="140"/>
      <c r="AC55" s="140"/>
      <c r="AD55" s="140"/>
      <c r="AE55" s="140"/>
      <c r="AF55" s="140"/>
      <c r="AG55" s="140">
        <f t="shared" si="1"/>
        <v>1368</v>
      </c>
      <c r="AH55" s="140">
        <f t="shared" si="11"/>
        <v>174.49999999999977</v>
      </c>
      <c r="AI55" s="143"/>
      <c r="AJ55" s="143"/>
    </row>
    <row r="56" spans="1:36" s="142" customFormat="1" ht="15" customHeight="1">
      <c r="A56" s="144" t="s">
        <v>1</v>
      </c>
      <c r="B56" s="139"/>
      <c r="C56" s="139">
        <v>0</v>
      </c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>
        <f t="shared" si="1"/>
        <v>0</v>
      </c>
      <c r="AH56" s="140">
        <f t="shared" si="11"/>
        <v>0</v>
      </c>
      <c r="AI56" s="143"/>
      <c r="AJ56" s="143"/>
    </row>
    <row r="57" spans="1:36" s="142" customFormat="1" ht="15.75">
      <c r="A57" s="144" t="s">
        <v>2</v>
      </c>
      <c r="B57" s="145">
        <v>18.3</v>
      </c>
      <c r="C57" s="139">
        <v>186.89999999999992</v>
      </c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>
        <v>15.3</v>
      </c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>
        <f t="shared" si="1"/>
        <v>15.3</v>
      </c>
      <c r="AH57" s="140">
        <f t="shared" si="11"/>
        <v>189.89999999999992</v>
      </c>
      <c r="AJ57" s="143"/>
    </row>
    <row r="58" spans="1:36" s="142" customFormat="1" ht="15.75">
      <c r="A58" s="144" t="s">
        <v>16</v>
      </c>
      <c r="B58" s="145"/>
      <c r="C58" s="139">
        <v>53.8</v>
      </c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>
        <v>34</v>
      </c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>
        <f t="shared" si="1"/>
        <v>34</v>
      </c>
      <c r="AH58" s="140">
        <f t="shared" si="11"/>
        <v>19.799999999999997</v>
      </c>
      <c r="AJ58" s="143"/>
    </row>
    <row r="59" spans="1:36" s="142" customFormat="1" ht="15.75" hidden="1">
      <c r="A59" s="144" t="s">
        <v>15</v>
      </c>
      <c r="B59" s="139"/>
      <c r="C59" s="139">
        <v>0</v>
      </c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>
        <f t="shared" si="1"/>
        <v>0</v>
      </c>
      <c r="AH59" s="140">
        <f t="shared" si="11"/>
        <v>0</v>
      </c>
      <c r="AJ59" s="143"/>
    </row>
    <row r="60" spans="1:36" s="142" customFormat="1" ht="15.75">
      <c r="A60" s="144" t="s">
        <v>23</v>
      </c>
      <c r="B60" s="139">
        <f aca="true" t="shared" si="12" ref="B60:AE60">B54-B55-B57-B59-B56-B58</f>
        <v>752.9000000000003</v>
      </c>
      <c r="C60" s="139">
        <v>691.1000000000001</v>
      </c>
      <c r="D60" s="140">
        <f t="shared" si="12"/>
        <v>0</v>
      </c>
      <c r="E60" s="140">
        <f t="shared" si="12"/>
        <v>185.8</v>
      </c>
      <c r="F60" s="140">
        <f t="shared" si="12"/>
        <v>0</v>
      </c>
      <c r="G60" s="140">
        <f t="shared" si="12"/>
        <v>148.9</v>
      </c>
      <c r="H60" s="140">
        <f>H54-H55-H57-H59-H56-H58</f>
        <v>0</v>
      </c>
      <c r="I60" s="140">
        <f t="shared" si="12"/>
        <v>27.700000000000003</v>
      </c>
      <c r="J60" s="140">
        <f t="shared" si="12"/>
        <v>0</v>
      </c>
      <c r="K60" s="140">
        <f t="shared" si="12"/>
        <v>0</v>
      </c>
      <c r="L60" s="140">
        <f t="shared" si="12"/>
        <v>106.00000000000006</v>
      </c>
      <c r="M60" s="140">
        <f t="shared" si="12"/>
        <v>0</v>
      </c>
      <c r="N60" s="140">
        <f t="shared" si="12"/>
        <v>0</v>
      </c>
      <c r="O60" s="140">
        <f t="shared" si="12"/>
        <v>0</v>
      </c>
      <c r="P60" s="140">
        <f t="shared" si="12"/>
        <v>137</v>
      </c>
      <c r="Q60" s="140">
        <f t="shared" si="12"/>
        <v>77.9</v>
      </c>
      <c r="R60" s="140">
        <f t="shared" si="12"/>
        <v>21.499999999999996</v>
      </c>
      <c r="S60" s="140">
        <f t="shared" si="12"/>
        <v>0</v>
      </c>
      <c r="T60" s="140">
        <f t="shared" si="12"/>
        <v>0</v>
      </c>
      <c r="U60" s="140">
        <f t="shared" si="12"/>
        <v>0</v>
      </c>
      <c r="V60" s="140">
        <f t="shared" si="12"/>
        <v>0</v>
      </c>
      <c r="W60" s="140">
        <f t="shared" si="12"/>
        <v>8.5</v>
      </c>
      <c r="X60" s="140">
        <f t="shared" si="12"/>
        <v>0</v>
      </c>
      <c r="Y60" s="140">
        <f t="shared" si="12"/>
        <v>15.1</v>
      </c>
      <c r="Z60" s="140">
        <f t="shared" si="12"/>
        <v>0</v>
      </c>
      <c r="AA60" s="140">
        <f t="shared" si="12"/>
        <v>0</v>
      </c>
      <c r="AB60" s="140">
        <f t="shared" si="12"/>
        <v>0</v>
      </c>
      <c r="AC60" s="140">
        <f t="shared" si="12"/>
        <v>0</v>
      </c>
      <c r="AD60" s="140">
        <f t="shared" si="12"/>
        <v>0</v>
      </c>
      <c r="AE60" s="140">
        <f t="shared" si="12"/>
        <v>0</v>
      </c>
      <c r="AF60" s="140"/>
      <c r="AG60" s="140">
        <f>AG54-AG55-AG57-AG59-AG56-AG58</f>
        <v>728.3999999999999</v>
      </c>
      <c r="AH60" s="140">
        <f>AH54-AH55-AH57-AH59-AH56-AH58</f>
        <v>715.6000000000006</v>
      </c>
      <c r="AJ60" s="143"/>
    </row>
    <row r="61" spans="1:36" s="142" customFormat="1" ht="15" customHeight="1">
      <c r="A61" s="138" t="s">
        <v>10</v>
      </c>
      <c r="B61" s="139">
        <v>84</v>
      </c>
      <c r="C61" s="139">
        <v>63.29999999999999</v>
      </c>
      <c r="D61" s="140"/>
      <c r="E61" s="140"/>
      <c r="F61" s="140"/>
      <c r="G61" s="140"/>
      <c r="H61" s="140"/>
      <c r="I61" s="140"/>
      <c r="J61" s="140">
        <v>20.4</v>
      </c>
      <c r="K61" s="140"/>
      <c r="L61" s="140"/>
      <c r="M61" s="140"/>
      <c r="N61" s="140"/>
      <c r="O61" s="140"/>
      <c r="P61" s="140">
        <v>5</v>
      </c>
      <c r="Q61" s="140"/>
      <c r="R61" s="140"/>
      <c r="S61" s="140">
        <v>2</v>
      </c>
      <c r="T61" s="140"/>
      <c r="U61" s="140">
        <v>2</v>
      </c>
      <c r="V61" s="140"/>
      <c r="W61" s="140"/>
      <c r="X61" s="140">
        <v>2</v>
      </c>
      <c r="Y61" s="140"/>
      <c r="Z61" s="140"/>
      <c r="AA61" s="140"/>
      <c r="AB61" s="140"/>
      <c r="AC61" s="140"/>
      <c r="AD61" s="140"/>
      <c r="AE61" s="140"/>
      <c r="AF61" s="140"/>
      <c r="AG61" s="140">
        <f aca="true" t="shared" si="13" ref="AG61:AG92">SUM(D61:AE61)</f>
        <v>31.4</v>
      </c>
      <c r="AH61" s="140">
        <f aca="true" t="shared" si="14" ref="AH61:AH67">B61+C61-AG61</f>
        <v>115.89999999999998</v>
      </c>
      <c r="AJ61" s="143"/>
    </row>
    <row r="62" spans="1:36" s="142" customFormat="1" ht="15" customHeight="1">
      <c r="A62" s="138" t="s">
        <v>11</v>
      </c>
      <c r="B62" s="139">
        <f>4441.9-400-152.8-0.1</f>
        <v>3888.9999999999995</v>
      </c>
      <c r="C62" s="139">
        <v>5154.400000000001</v>
      </c>
      <c r="D62" s="140"/>
      <c r="E62" s="140">
        <v>193</v>
      </c>
      <c r="F62" s="140"/>
      <c r="G62" s="140">
        <v>4</v>
      </c>
      <c r="H62" s="140">
        <v>175.4</v>
      </c>
      <c r="I62" s="140"/>
      <c r="J62" s="140">
        <v>42.8</v>
      </c>
      <c r="K62" s="140"/>
      <c r="L62" s="140">
        <v>902.9</v>
      </c>
      <c r="M62" s="140"/>
      <c r="N62" s="140"/>
      <c r="O62" s="140"/>
      <c r="P62" s="140">
        <v>9.1</v>
      </c>
      <c r="Q62" s="140"/>
      <c r="R62" s="140">
        <v>300.8</v>
      </c>
      <c r="S62" s="140"/>
      <c r="T62" s="140">
        <v>36.7</v>
      </c>
      <c r="U62" s="140">
        <v>5</v>
      </c>
      <c r="V62" s="140"/>
      <c r="W62" s="140">
        <v>967.7</v>
      </c>
      <c r="X62" s="140">
        <v>78.3</v>
      </c>
      <c r="Y62" s="140"/>
      <c r="Z62" s="140"/>
      <c r="AA62" s="140"/>
      <c r="AB62" s="140"/>
      <c r="AC62" s="140"/>
      <c r="AD62" s="140"/>
      <c r="AE62" s="140"/>
      <c r="AF62" s="140"/>
      <c r="AG62" s="140">
        <f t="shared" si="13"/>
        <v>2715.7</v>
      </c>
      <c r="AH62" s="140">
        <f t="shared" si="14"/>
        <v>6327.7</v>
      </c>
      <c r="AJ62" s="143"/>
    </row>
    <row r="63" spans="1:36" s="142" customFormat="1" ht="15.75">
      <c r="A63" s="144" t="s">
        <v>5</v>
      </c>
      <c r="B63" s="139">
        <v>2680.6</v>
      </c>
      <c r="C63" s="139">
        <v>755.3999999999996</v>
      </c>
      <c r="D63" s="140"/>
      <c r="E63" s="140">
        <v>193</v>
      </c>
      <c r="F63" s="140"/>
      <c r="G63" s="140"/>
      <c r="H63" s="140"/>
      <c r="I63" s="140"/>
      <c r="J63" s="140"/>
      <c r="K63" s="140"/>
      <c r="L63" s="140">
        <v>703.6</v>
      </c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>
        <v>685.7</v>
      </c>
      <c r="X63" s="140"/>
      <c r="Y63" s="140"/>
      <c r="Z63" s="140"/>
      <c r="AA63" s="140"/>
      <c r="AB63" s="140"/>
      <c r="AC63" s="140"/>
      <c r="AD63" s="140"/>
      <c r="AE63" s="140"/>
      <c r="AF63" s="140"/>
      <c r="AG63" s="140">
        <f t="shared" si="13"/>
        <v>1582.3000000000002</v>
      </c>
      <c r="AH63" s="140">
        <f t="shared" si="14"/>
        <v>1853.6999999999994</v>
      </c>
      <c r="AI63" s="157"/>
      <c r="AJ63" s="143"/>
    </row>
    <row r="64" spans="1:36" s="142" customFormat="1" ht="15.75" hidden="1">
      <c r="A64" s="144" t="s">
        <v>3</v>
      </c>
      <c r="B64" s="139"/>
      <c r="C64" s="139">
        <v>0</v>
      </c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>
        <f t="shared" si="13"/>
        <v>0</v>
      </c>
      <c r="AH64" s="140">
        <f t="shared" si="14"/>
        <v>0</v>
      </c>
      <c r="AI64" s="143"/>
      <c r="AJ64" s="143"/>
    </row>
    <row r="65" spans="1:36" s="142" customFormat="1" ht="15.75">
      <c r="A65" s="144" t="s">
        <v>1</v>
      </c>
      <c r="B65" s="139">
        <v>284.3</v>
      </c>
      <c r="C65" s="139">
        <v>745.5</v>
      </c>
      <c r="D65" s="140"/>
      <c r="E65" s="140"/>
      <c r="F65" s="140"/>
      <c r="G65" s="140"/>
      <c r="H65" s="140">
        <v>84.1</v>
      </c>
      <c r="I65" s="140"/>
      <c r="J65" s="140"/>
      <c r="K65" s="140"/>
      <c r="L65" s="140"/>
      <c r="M65" s="140"/>
      <c r="N65" s="140"/>
      <c r="O65" s="140"/>
      <c r="P65" s="140"/>
      <c r="Q65" s="140"/>
      <c r="R65" s="140">
        <v>17.2</v>
      </c>
      <c r="S65" s="140"/>
      <c r="T65" s="140">
        <v>1.6</v>
      </c>
      <c r="U65" s="140"/>
      <c r="V65" s="140"/>
      <c r="W65" s="140"/>
      <c r="X65" s="140">
        <v>53.3</v>
      </c>
      <c r="Y65" s="140"/>
      <c r="Z65" s="140"/>
      <c r="AA65" s="140"/>
      <c r="AB65" s="140"/>
      <c r="AC65" s="140"/>
      <c r="AD65" s="140"/>
      <c r="AE65" s="140"/>
      <c r="AF65" s="140"/>
      <c r="AG65" s="140">
        <f t="shared" si="13"/>
        <v>156.2</v>
      </c>
      <c r="AH65" s="140">
        <f t="shared" si="14"/>
        <v>873.5999999999999</v>
      </c>
      <c r="AI65" s="143"/>
      <c r="AJ65" s="143"/>
    </row>
    <row r="66" spans="1:36" s="142" customFormat="1" ht="15.75">
      <c r="A66" s="144" t="s">
        <v>2</v>
      </c>
      <c r="B66" s="139">
        <v>30.3</v>
      </c>
      <c r="C66" s="139">
        <v>104.69999999999997</v>
      </c>
      <c r="D66" s="140"/>
      <c r="E66" s="140"/>
      <c r="F66" s="140"/>
      <c r="G66" s="140"/>
      <c r="H66" s="140">
        <v>0.3</v>
      </c>
      <c r="I66" s="140"/>
      <c r="J66" s="140">
        <v>17.9</v>
      </c>
      <c r="K66" s="140"/>
      <c r="L66" s="140"/>
      <c r="M66" s="140"/>
      <c r="N66" s="140"/>
      <c r="O66" s="140"/>
      <c r="P66" s="140"/>
      <c r="Q66" s="140"/>
      <c r="R66" s="140"/>
      <c r="S66" s="140"/>
      <c r="T66" s="140">
        <v>0.9</v>
      </c>
      <c r="U66" s="140"/>
      <c r="V66" s="140"/>
      <c r="W66" s="140">
        <v>5.7</v>
      </c>
      <c r="X66" s="140"/>
      <c r="Y66" s="140"/>
      <c r="Z66" s="140"/>
      <c r="AA66" s="140"/>
      <c r="AB66" s="140"/>
      <c r="AC66" s="140"/>
      <c r="AD66" s="140"/>
      <c r="AE66" s="140"/>
      <c r="AF66" s="140"/>
      <c r="AG66" s="140">
        <f t="shared" si="13"/>
        <v>24.799999999999997</v>
      </c>
      <c r="AH66" s="140">
        <f t="shared" si="14"/>
        <v>110.19999999999997</v>
      </c>
      <c r="AJ66" s="143"/>
    </row>
    <row r="67" spans="1:36" s="142" customFormat="1" ht="15.75">
      <c r="A67" s="144" t="s">
        <v>16</v>
      </c>
      <c r="B67" s="139">
        <f>308-152.8</f>
        <v>155.2</v>
      </c>
      <c r="C67" s="139">
        <v>567.7</v>
      </c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>
        <v>245</v>
      </c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>
        <f t="shared" si="13"/>
        <v>245</v>
      </c>
      <c r="AH67" s="140">
        <f t="shared" si="14"/>
        <v>477.9000000000001</v>
      </c>
      <c r="AJ67" s="143"/>
    </row>
    <row r="68" spans="1:36" s="142" customFormat="1" ht="15.75">
      <c r="A68" s="144" t="s">
        <v>23</v>
      </c>
      <c r="B68" s="139">
        <f aca="true" t="shared" si="15" ref="B68:AE68">B62-B63-B66-B67-B65-B64</f>
        <v>738.5999999999997</v>
      </c>
      <c r="C68" s="139">
        <v>2981.1000000000013</v>
      </c>
      <c r="D68" s="140">
        <f t="shared" si="15"/>
        <v>0</v>
      </c>
      <c r="E68" s="140">
        <f t="shared" si="15"/>
        <v>0</v>
      </c>
      <c r="F68" s="140">
        <f t="shared" si="15"/>
        <v>0</v>
      </c>
      <c r="G68" s="140">
        <f t="shared" si="15"/>
        <v>4</v>
      </c>
      <c r="H68" s="140">
        <f>H62-H63-H66-H67-H65-H64</f>
        <v>91</v>
      </c>
      <c r="I68" s="140">
        <f t="shared" si="15"/>
        <v>0</v>
      </c>
      <c r="J68" s="140">
        <f t="shared" si="15"/>
        <v>24.9</v>
      </c>
      <c r="K68" s="140">
        <f t="shared" si="15"/>
        <v>0</v>
      </c>
      <c r="L68" s="140">
        <f t="shared" si="15"/>
        <v>199.29999999999995</v>
      </c>
      <c r="M68" s="140">
        <f t="shared" si="15"/>
        <v>0</v>
      </c>
      <c r="N68" s="140">
        <f t="shared" si="15"/>
        <v>0</v>
      </c>
      <c r="O68" s="140">
        <f t="shared" si="15"/>
        <v>0</v>
      </c>
      <c r="P68" s="140">
        <f t="shared" si="15"/>
        <v>9.1</v>
      </c>
      <c r="Q68" s="140">
        <f t="shared" si="15"/>
        <v>0</v>
      </c>
      <c r="R68" s="140">
        <f t="shared" si="15"/>
        <v>38.60000000000001</v>
      </c>
      <c r="S68" s="140">
        <f t="shared" si="15"/>
        <v>0</v>
      </c>
      <c r="T68" s="140">
        <f t="shared" si="15"/>
        <v>34.2</v>
      </c>
      <c r="U68" s="140">
        <f t="shared" si="15"/>
        <v>5</v>
      </c>
      <c r="V68" s="140">
        <f t="shared" si="15"/>
        <v>0</v>
      </c>
      <c r="W68" s="140">
        <f t="shared" si="15"/>
        <v>276.3</v>
      </c>
      <c r="X68" s="140">
        <f t="shared" si="15"/>
        <v>25</v>
      </c>
      <c r="Y68" s="140">
        <f t="shared" si="15"/>
        <v>0</v>
      </c>
      <c r="Z68" s="140">
        <f t="shared" si="15"/>
        <v>0</v>
      </c>
      <c r="AA68" s="140">
        <f t="shared" si="15"/>
        <v>0</v>
      </c>
      <c r="AB68" s="140">
        <f t="shared" si="15"/>
        <v>0</v>
      </c>
      <c r="AC68" s="140">
        <f t="shared" si="15"/>
        <v>0</v>
      </c>
      <c r="AD68" s="140">
        <f t="shared" si="15"/>
        <v>0</v>
      </c>
      <c r="AE68" s="140">
        <f t="shared" si="15"/>
        <v>0</v>
      </c>
      <c r="AF68" s="140"/>
      <c r="AG68" s="140">
        <f t="shared" si="13"/>
        <v>707.4</v>
      </c>
      <c r="AH68" s="140">
        <f>AH62-AH63-AH66-AH67-AH65-AH64</f>
        <v>3012.3</v>
      </c>
      <c r="AJ68" s="143"/>
    </row>
    <row r="69" spans="1:36" s="142" customFormat="1" ht="31.5">
      <c r="A69" s="138" t="s">
        <v>45</v>
      </c>
      <c r="B69" s="139">
        <f>2253.9-52-504+0.1</f>
        <v>1698</v>
      </c>
      <c r="C69" s="139">
        <v>43.700000000000045</v>
      </c>
      <c r="D69" s="140"/>
      <c r="E69" s="140"/>
      <c r="F69" s="140">
        <v>941.7</v>
      </c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>
        <v>788.3</v>
      </c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>
        <f t="shared" si="13"/>
        <v>1730</v>
      </c>
      <c r="AH69" s="158">
        <f aca="true" t="shared" si="16" ref="AH69:AH92">B69+C69-AG69</f>
        <v>11.700000000000045</v>
      </c>
      <c r="AJ69" s="143"/>
    </row>
    <row r="70" spans="1:36" s="142" customFormat="1" ht="15.75" hidden="1">
      <c r="A70" s="138" t="s">
        <v>32</v>
      </c>
      <c r="B70" s="139"/>
      <c r="C70" s="139">
        <v>0</v>
      </c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>
        <f t="shared" si="13"/>
        <v>0</v>
      </c>
      <c r="AH70" s="158">
        <f t="shared" si="16"/>
        <v>0</v>
      </c>
      <c r="AJ70" s="143"/>
    </row>
    <row r="71" spans="1:51" s="142" customFormat="1" ht="31.5">
      <c r="A71" s="138" t="s">
        <v>46</v>
      </c>
      <c r="B71" s="139">
        <f>1001.2+504</f>
        <v>1505.2</v>
      </c>
      <c r="C71" s="159">
        <v>457.4000000000001</v>
      </c>
      <c r="D71" s="154"/>
      <c r="E71" s="154"/>
      <c r="F71" s="154"/>
      <c r="G71" s="154"/>
      <c r="H71" s="154"/>
      <c r="I71" s="154"/>
      <c r="J71" s="154"/>
      <c r="K71" s="154"/>
      <c r="L71" s="154">
        <v>719.5</v>
      </c>
      <c r="M71" s="154"/>
      <c r="N71" s="154">
        <v>23.4</v>
      </c>
      <c r="O71" s="154">
        <v>379.6</v>
      </c>
      <c r="P71" s="154"/>
      <c r="Q71" s="154"/>
      <c r="R71" s="154"/>
      <c r="S71" s="154"/>
      <c r="T71" s="154"/>
      <c r="U71" s="154"/>
      <c r="V71" s="154">
        <v>98.9</v>
      </c>
      <c r="W71" s="154"/>
      <c r="X71" s="154">
        <v>504</v>
      </c>
      <c r="Y71" s="154"/>
      <c r="Z71" s="154"/>
      <c r="AA71" s="154"/>
      <c r="AB71" s="154"/>
      <c r="AC71" s="154"/>
      <c r="AD71" s="154"/>
      <c r="AE71" s="154"/>
      <c r="AF71" s="154"/>
      <c r="AG71" s="140">
        <f t="shared" si="13"/>
        <v>1725.4</v>
      </c>
      <c r="AH71" s="158">
        <f t="shared" si="16"/>
        <v>237.20000000000005</v>
      </c>
      <c r="AI71" s="160"/>
      <c r="AJ71" s="143"/>
      <c r="AK71" s="160"/>
      <c r="AL71" s="160"/>
      <c r="AM71" s="160"/>
      <c r="AN71" s="160"/>
      <c r="AO71" s="160"/>
      <c r="AP71" s="160"/>
      <c r="AQ71" s="160"/>
      <c r="AR71" s="160"/>
      <c r="AS71" s="160"/>
      <c r="AT71" s="160"/>
      <c r="AU71" s="160"/>
      <c r="AV71" s="160"/>
      <c r="AW71" s="160"/>
      <c r="AX71" s="160"/>
      <c r="AY71" s="160"/>
    </row>
    <row r="72" spans="1:36" s="142" customFormat="1" ht="15" customHeight="1">
      <c r="A72" s="138" t="s">
        <v>47</v>
      </c>
      <c r="B72" s="153">
        <v>956.2</v>
      </c>
      <c r="C72" s="139">
        <f>3018.8-124.4</f>
        <v>2894.4</v>
      </c>
      <c r="D72" s="140"/>
      <c r="E72" s="140">
        <v>46.7</v>
      </c>
      <c r="F72" s="140">
        <f>11.1+109.9+12.5</f>
        <v>133.5</v>
      </c>
      <c r="G72" s="140"/>
      <c r="H72" s="140">
        <v>65.9</v>
      </c>
      <c r="I72" s="140"/>
      <c r="J72" s="140">
        <v>26.3</v>
      </c>
      <c r="K72" s="140">
        <v>1.7</v>
      </c>
      <c r="L72" s="140"/>
      <c r="M72" s="140"/>
      <c r="N72" s="140"/>
      <c r="O72" s="140">
        <v>0.3</v>
      </c>
      <c r="P72" s="140"/>
      <c r="Q72" s="140">
        <f>406.8-31.6+0.1</f>
        <v>375.3</v>
      </c>
      <c r="R72" s="140">
        <f>3.2+31.7</f>
        <v>34.9</v>
      </c>
      <c r="S72" s="140"/>
      <c r="T72" s="140">
        <v>50</v>
      </c>
      <c r="U72" s="140"/>
      <c r="V72" s="140">
        <v>8.6</v>
      </c>
      <c r="W72" s="140">
        <f>377.5-110</f>
        <v>267.5</v>
      </c>
      <c r="X72" s="140">
        <v>138.4</v>
      </c>
      <c r="Y72" s="140"/>
      <c r="Z72" s="140"/>
      <c r="AA72" s="140"/>
      <c r="AB72" s="140"/>
      <c r="AC72" s="140"/>
      <c r="AD72" s="140"/>
      <c r="AE72" s="140"/>
      <c r="AF72" s="140"/>
      <c r="AG72" s="140">
        <f t="shared" si="13"/>
        <v>1149.1000000000001</v>
      </c>
      <c r="AH72" s="158">
        <f t="shared" si="16"/>
        <v>2701.5</v>
      </c>
      <c r="AJ72" s="143"/>
    </row>
    <row r="73" spans="1:36" s="142" customFormat="1" ht="15" customHeight="1">
      <c r="A73" s="144" t="s">
        <v>5</v>
      </c>
      <c r="B73" s="139">
        <v>0</v>
      </c>
      <c r="C73" s="139">
        <v>0</v>
      </c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>
        <f t="shared" si="13"/>
        <v>0</v>
      </c>
      <c r="AH73" s="158">
        <f t="shared" si="16"/>
        <v>0</v>
      </c>
      <c r="AJ73" s="143"/>
    </row>
    <row r="74" spans="1:36" s="142" customFormat="1" ht="15" customHeight="1">
      <c r="A74" s="144" t="s">
        <v>2</v>
      </c>
      <c r="B74" s="139">
        <f>24.5+31</f>
        <v>55.5</v>
      </c>
      <c r="C74" s="139">
        <v>597.5</v>
      </c>
      <c r="D74" s="140"/>
      <c r="E74" s="140"/>
      <c r="F74" s="140">
        <v>11.2</v>
      </c>
      <c r="G74" s="140"/>
      <c r="H74" s="140">
        <f>60+4.8</f>
        <v>64.8</v>
      </c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>
        <f t="shared" si="13"/>
        <v>76</v>
      </c>
      <c r="AH74" s="158">
        <f t="shared" si="16"/>
        <v>577</v>
      </c>
      <c r="AJ74" s="143"/>
    </row>
    <row r="75" spans="1:36" s="142" customFormat="1" ht="15" customHeight="1">
      <c r="A75" s="144" t="s">
        <v>16</v>
      </c>
      <c r="B75" s="139">
        <f>15+14.2</f>
        <v>29.2</v>
      </c>
      <c r="C75" s="139">
        <v>121.6</v>
      </c>
      <c r="D75" s="140"/>
      <c r="E75" s="140"/>
      <c r="F75" s="140"/>
      <c r="G75" s="140"/>
      <c r="H75" s="140"/>
      <c r="I75" s="140"/>
      <c r="J75" s="140"/>
      <c r="K75" s="140">
        <v>1.4</v>
      </c>
      <c r="L75" s="140"/>
      <c r="M75" s="140"/>
      <c r="N75" s="140"/>
      <c r="O75" s="140"/>
      <c r="P75" s="140"/>
      <c r="Q75" s="140">
        <v>1.8</v>
      </c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>
        <f t="shared" si="13"/>
        <v>3.2</v>
      </c>
      <c r="AH75" s="158">
        <f t="shared" si="16"/>
        <v>147.6</v>
      </c>
      <c r="AJ75" s="143"/>
    </row>
    <row r="76" spans="1:36" s="162" customFormat="1" ht="15.75">
      <c r="A76" s="161" t="s">
        <v>48</v>
      </c>
      <c r="B76" s="139">
        <f>743.8+242.4-600</f>
        <v>386.19999999999993</v>
      </c>
      <c r="C76" s="139">
        <v>43.799999999999955</v>
      </c>
      <c r="D76" s="140"/>
      <c r="E76" s="154"/>
      <c r="F76" s="154">
        <v>21.4</v>
      </c>
      <c r="G76" s="154"/>
      <c r="H76" s="154"/>
      <c r="I76" s="154"/>
      <c r="J76" s="154"/>
      <c r="K76" s="154">
        <v>117.3</v>
      </c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>
        <v>110</v>
      </c>
      <c r="X76" s="154"/>
      <c r="Y76" s="154"/>
      <c r="Z76" s="154"/>
      <c r="AA76" s="154"/>
      <c r="AB76" s="154"/>
      <c r="AC76" s="154"/>
      <c r="AD76" s="154"/>
      <c r="AE76" s="154"/>
      <c r="AF76" s="154"/>
      <c r="AG76" s="140">
        <f t="shared" si="13"/>
        <v>248.7</v>
      </c>
      <c r="AH76" s="158">
        <f t="shared" si="16"/>
        <v>181.2999999999999</v>
      </c>
      <c r="AJ76" s="143"/>
    </row>
    <row r="77" spans="1:36" s="162" customFormat="1" ht="15.75">
      <c r="A77" s="144" t="s">
        <v>5</v>
      </c>
      <c r="B77" s="139">
        <v>199.7</v>
      </c>
      <c r="C77" s="139">
        <v>16.899999999999977</v>
      </c>
      <c r="D77" s="140"/>
      <c r="E77" s="154"/>
      <c r="F77" s="154">
        <v>20.9</v>
      </c>
      <c r="G77" s="154"/>
      <c r="H77" s="154"/>
      <c r="I77" s="154"/>
      <c r="J77" s="154"/>
      <c r="K77" s="154">
        <v>115.2</v>
      </c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>
        <v>80.1</v>
      </c>
      <c r="X77" s="154"/>
      <c r="Y77" s="154"/>
      <c r="Z77" s="154"/>
      <c r="AA77" s="154"/>
      <c r="AB77" s="154"/>
      <c r="AC77" s="154"/>
      <c r="AD77" s="154"/>
      <c r="AE77" s="154"/>
      <c r="AF77" s="154"/>
      <c r="AG77" s="140">
        <f t="shared" si="13"/>
        <v>216.2</v>
      </c>
      <c r="AH77" s="158">
        <f t="shared" si="16"/>
        <v>0.39999999999997726</v>
      </c>
      <c r="AJ77" s="143"/>
    </row>
    <row r="78" spans="1:36" s="162" customFormat="1" ht="15.75" hidden="1">
      <c r="A78" s="144" t="s">
        <v>3</v>
      </c>
      <c r="B78" s="139"/>
      <c r="C78" s="139">
        <v>0</v>
      </c>
      <c r="D78" s="140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40">
        <f t="shared" si="13"/>
        <v>0</v>
      </c>
      <c r="AH78" s="158">
        <f t="shared" si="16"/>
        <v>0</v>
      </c>
      <c r="AJ78" s="143"/>
    </row>
    <row r="79" spans="1:36" s="162" customFormat="1" ht="15.75" hidden="1">
      <c r="A79" s="144" t="s">
        <v>1</v>
      </c>
      <c r="B79" s="139"/>
      <c r="C79" s="139">
        <v>0</v>
      </c>
      <c r="D79" s="140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40">
        <f t="shared" si="13"/>
        <v>0</v>
      </c>
      <c r="AH79" s="158">
        <f t="shared" si="16"/>
        <v>0</v>
      </c>
      <c r="AJ79" s="143"/>
    </row>
    <row r="80" spans="1:36" s="162" customFormat="1" ht="15.75">
      <c r="A80" s="144" t="s">
        <v>2</v>
      </c>
      <c r="B80" s="139">
        <v>0.6</v>
      </c>
      <c r="C80" s="139">
        <v>2.0000000000000013</v>
      </c>
      <c r="D80" s="140"/>
      <c r="E80" s="154"/>
      <c r="F80" s="154">
        <v>0.5</v>
      </c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40">
        <f t="shared" si="13"/>
        <v>0.5</v>
      </c>
      <c r="AH80" s="158">
        <f t="shared" si="16"/>
        <v>2.1000000000000014</v>
      </c>
      <c r="AJ80" s="143"/>
    </row>
    <row r="81" spans="1:36" s="162" customFormat="1" ht="15.75">
      <c r="A81" s="161" t="s">
        <v>49</v>
      </c>
      <c r="B81" s="139">
        <v>0</v>
      </c>
      <c r="C81" s="159">
        <v>0</v>
      </c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40">
        <f t="shared" si="13"/>
        <v>0</v>
      </c>
      <c r="AH81" s="158">
        <f t="shared" si="16"/>
        <v>0</v>
      </c>
      <c r="AJ81" s="143"/>
    </row>
    <row r="82" spans="1:36" s="162" customFormat="1" ht="15.75" hidden="1">
      <c r="A82" s="161" t="s">
        <v>41</v>
      </c>
      <c r="B82" s="139"/>
      <c r="C82" s="159">
        <v>0</v>
      </c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40">
        <f t="shared" si="13"/>
        <v>0</v>
      </c>
      <c r="AH82" s="158">
        <f t="shared" si="16"/>
        <v>0</v>
      </c>
      <c r="AJ82" s="143"/>
    </row>
    <row r="83" spans="1:36" s="162" customFormat="1" ht="15.75" hidden="1">
      <c r="A83" s="161" t="s">
        <v>40</v>
      </c>
      <c r="B83" s="159"/>
      <c r="C83" s="159">
        <v>0</v>
      </c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40">
        <f t="shared" si="13"/>
        <v>0</v>
      </c>
      <c r="AH83" s="140">
        <f t="shared" si="16"/>
        <v>0</v>
      </c>
      <c r="AJ83" s="143"/>
    </row>
    <row r="84" spans="1:36" s="162" customFormat="1" ht="15.75" hidden="1">
      <c r="A84" s="163" t="s">
        <v>21</v>
      </c>
      <c r="B84" s="139"/>
      <c r="C84" s="159">
        <v>0</v>
      </c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40">
        <f t="shared" si="13"/>
        <v>0</v>
      </c>
      <c r="AH84" s="140">
        <f t="shared" si="16"/>
        <v>0</v>
      </c>
      <c r="AJ84" s="143"/>
    </row>
    <row r="85" spans="1:36" s="162" customFormat="1" ht="15.75" hidden="1">
      <c r="A85" s="163" t="s">
        <v>22</v>
      </c>
      <c r="B85" s="139"/>
      <c r="C85" s="159">
        <v>0</v>
      </c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40">
        <f t="shared" si="13"/>
        <v>0</v>
      </c>
      <c r="AH85" s="140">
        <f t="shared" si="16"/>
        <v>0</v>
      </c>
      <c r="AJ85" s="143"/>
    </row>
    <row r="86" spans="1:36" s="162" customFormat="1" ht="31.5" hidden="1">
      <c r="A86" s="163" t="s">
        <v>24</v>
      </c>
      <c r="B86" s="139"/>
      <c r="C86" s="159">
        <v>0</v>
      </c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40">
        <f t="shared" si="13"/>
        <v>0</v>
      </c>
      <c r="AH86" s="140">
        <f t="shared" si="16"/>
        <v>0</v>
      </c>
      <c r="AJ86" s="143"/>
    </row>
    <row r="87" spans="1:36" s="162" customFormat="1" ht="31.5" hidden="1">
      <c r="A87" s="163" t="s">
        <v>28</v>
      </c>
      <c r="B87" s="139"/>
      <c r="C87" s="159">
        <v>0</v>
      </c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40">
        <f t="shared" si="13"/>
        <v>0</v>
      </c>
      <c r="AH87" s="140">
        <f t="shared" si="16"/>
        <v>0</v>
      </c>
      <c r="AJ87" s="143"/>
    </row>
    <row r="88" spans="1:36" s="142" customFormat="1" ht="15.75">
      <c r="A88" s="138" t="s">
        <v>58</v>
      </c>
      <c r="B88" s="139">
        <v>398</v>
      </c>
      <c r="C88" s="139">
        <v>0</v>
      </c>
      <c r="D88" s="140"/>
      <c r="E88" s="140"/>
      <c r="F88" s="140">
        <v>398</v>
      </c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0"/>
      <c r="AE88" s="140"/>
      <c r="AF88" s="140"/>
      <c r="AG88" s="140">
        <f t="shared" si="13"/>
        <v>398</v>
      </c>
      <c r="AH88" s="140">
        <f t="shared" si="16"/>
        <v>0</v>
      </c>
      <c r="AI88" s="162"/>
      <c r="AJ88" s="143"/>
    </row>
    <row r="89" spans="1:36" s="142" customFormat="1" ht="15.75">
      <c r="A89" s="138" t="s">
        <v>50</v>
      </c>
      <c r="B89" s="139">
        <f>13601.2+4158.2+817.2+2596.9</f>
        <v>21173.500000000004</v>
      </c>
      <c r="C89" s="139">
        <v>828.5</v>
      </c>
      <c r="D89" s="140"/>
      <c r="E89" s="140"/>
      <c r="F89" s="140">
        <v>1551.1</v>
      </c>
      <c r="G89" s="140">
        <v>4423</v>
      </c>
      <c r="H89" s="140">
        <v>1571.7</v>
      </c>
      <c r="I89" s="140"/>
      <c r="J89" s="140"/>
      <c r="K89" s="140"/>
      <c r="L89" s="140">
        <v>1230.4</v>
      </c>
      <c r="M89" s="140"/>
      <c r="N89" s="140"/>
      <c r="O89" s="140"/>
      <c r="P89" s="140">
        <v>4995.4</v>
      </c>
      <c r="Q89" s="140">
        <v>3243.3</v>
      </c>
      <c r="R89" s="140">
        <v>12.3</v>
      </c>
      <c r="S89" s="140">
        <v>185.1</v>
      </c>
      <c r="T89" s="140"/>
      <c r="U89" s="140">
        <v>1701.9</v>
      </c>
      <c r="V89" s="140">
        <v>419.6</v>
      </c>
      <c r="W89" s="140"/>
      <c r="X89" s="140"/>
      <c r="Y89" s="140"/>
      <c r="Z89" s="140"/>
      <c r="AA89" s="140"/>
      <c r="AB89" s="140"/>
      <c r="AC89" s="140"/>
      <c r="AD89" s="140"/>
      <c r="AE89" s="140"/>
      <c r="AF89" s="140"/>
      <c r="AG89" s="140">
        <f t="shared" si="13"/>
        <v>19333.8</v>
      </c>
      <c r="AH89" s="140">
        <f t="shared" si="16"/>
        <v>2668.2000000000044</v>
      </c>
      <c r="AI89" s="162"/>
      <c r="AJ89" s="143"/>
    </row>
    <row r="90" spans="1:36" s="142" customFormat="1" ht="15.75">
      <c r="A90" s="138" t="s">
        <v>51</v>
      </c>
      <c r="B90" s="139">
        <v>5660.4</v>
      </c>
      <c r="C90" s="139">
        <v>0</v>
      </c>
      <c r="D90" s="140"/>
      <c r="E90" s="140"/>
      <c r="F90" s="140"/>
      <c r="G90" s="140"/>
      <c r="H90" s="140"/>
      <c r="I90" s="140"/>
      <c r="J90" s="140"/>
      <c r="K90" s="140">
        <v>1886.8</v>
      </c>
      <c r="L90" s="140"/>
      <c r="M90" s="140"/>
      <c r="N90" s="140"/>
      <c r="O90" s="140"/>
      <c r="P90" s="140"/>
      <c r="Q90" s="140"/>
      <c r="R90" s="140">
        <v>1886.8</v>
      </c>
      <c r="S90" s="140"/>
      <c r="T90" s="140"/>
      <c r="U90" s="140"/>
      <c r="V90" s="140"/>
      <c r="W90" s="140"/>
      <c r="X90" s="140"/>
      <c r="Y90" s="140"/>
      <c r="Z90" s="140">
        <v>1886.8</v>
      </c>
      <c r="AA90" s="140"/>
      <c r="AB90" s="140"/>
      <c r="AC90" s="140"/>
      <c r="AD90" s="140"/>
      <c r="AE90" s="140"/>
      <c r="AF90" s="140"/>
      <c r="AG90" s="140">
        <f t="shared" si="13"/>
        <v>5660.4</v>
      </c>
      <c r="AH90" s="140">
        <f t="shared" si="16"/>
        <v>0</v>
      </c>
      <c r="AI90" s="162"/>
      <c r="AJ90" s="143"/>
    </row>
    <row r="91" spans="1:36" s="142" customFormat="1" ht="15.75">
      <c r="A91" s="138" t="s">
        <v>25</v>
      </c>
      <c r="B91" s="139">
        <v>15</v>
      </c>
      <c r="C91" s="139">
        <v>65</v>
      </c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140"/>
      <c r="AC91" s="140"/>
      <c r="AD91" s="140"/>
      <c r="AE91" s="140"/>
      <c r="AF91" s="140"/>
      <c r="AG91" s="140">
        <f t="shared" si="13"/>
        <v>0</v>
      </c>
      <c r="AH91" s="140">
        <f t="shared" si="16"/>
        <v>80</v>
      </c>
      <c r="AI91" s="162"/>
      <c r="AJ91" s="143"/>
    </row>
    <row r="92" spans="1:35" s="142" customFormat="1" ht="15.75">
      <c r="A92" s="138" t="s">
        <v>37</v>
      </c>
      <c r="B92" s="139">
        <f>33109.6+400+164.1-3215.3+0.1-117.2-2082.9+700+1434.2</f>
        <v>30392.599999999995</v>
      </c>
      <c r="C92" s="139">
        <v>0</v>
      </c>
      <c r="D92" s="140">
        <v>18523</v>
      </c>
      <c r="E92" s="140">
        <v>1876.7</v>
      </c>
      <c r="F92" s="140">
        <v>-4752.8</v>
      </c>
      <c r="G92" s="140">
        <v>-1622.1</v>
      </c>
      <c r="H92" s="140">
        <v>226.9</v>
      </c>
      <c r="I92" s="140">
        <v>16206.8</v>
      </c>
      <c r="J92" s="140"/>
      <c r="K92" s="140"/>
      <c r="L92" s="140"/>
      <c r="M92" s="140">
        <v>-8028.9</v>
      </c>
      <c r="N92" s="140">
        <v>5174.6</v>
      </c>
      <c r="O92" s="140">
        <v>2737.1</v>
      </c>
      <c r="P92" s="140"/>
      <c r="Q92" s="140"/>
      <c r="R92" s="140">
        <v>-2082.9</v>
      </c>
      <c r="S92" s="140"/>
      <c r="T92" s="140"/>
      <c r="U92" s="140"/>
      <c r="V92" s="140">
        <f>528.3+1434.8</f>
        <v>1963.1</v>
      </c>
      <c r="W92" s="140">
        <v>168.7</v>
      </c>
      <c r="X92" s="140"/>
      <c r="Y92" s="140"/>
      <c r="Z92" s="140"/>
      <c r="AA92" s="140"/>
      <c r="AB92" s="140"/>
      <c r="AC92" s="140"/>
      <c r="AD92" s="140"/>
      <c r="AE92" s="140"/>
      <c r="AF92" s="140"/>
      <c r="AG92" s="140">
        <f t="shared" si="13"/>
        <v>30390.199999999993</v>
      </c>
      <c r="AH92" s="140">
        <f t="shared" si="16"/>
        <v>2.400000000001455</v>
      </c>
      <c r="AI92" s="164"/>
    </row>
    <row r="93" spans="1:34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</row>
    <row r="94" spans="1:34" s="134" customFormat="1" ht="15.75">
      <c r="A94" s="135" t="s">
        <v>27</v>
      </c>
      <c r="B94" s="136">
        <f aca="true" t="shared" si="17" ref="B94:Z94">B10+B15+B24+B33+B47+B52+B54+B61+B62+B69+B71+B72+B76+B81+B82+B83+B88+B89+B90+B91+B40+B92+B70</f>
        <v>189487.1</v>
      </c>
      <c r="C94" s="136">
        <f t="shared" si="17"/>
        <v>67226.30000000003</v>
      </c>
      <c r="D94" s="91">
        <f t="shared" si="17"/>
        <v>18523</v>
      </c>
      <c r="E94" s="91">
        <f t="shared" si="17"/>
        <v>7287.4</v>
      </c>
      <c r="F94" s="91">
        <f t="shared" si="17"/>
        <v>5701.599999999999</v>
      </c>
      <c r="G94" s="91">
        <f t="shared" si="17"/>
        <v>3391.4</v>
      </c>
      <c r="H94" s="91">
        <f>H10+H15+H24+H33+H47+H52+H54+H61+H62+H69+H71+H72+H76+H81+H82+H83+H88+H89+H90+H91+H40+H92+H70</f>
        <v>7572.9</v>
      </c>
      <c r="I94" s="91">
        <f t="shared" si="17"/>
        <v>17610.3</v>
      </c>
      <c r="J94" s="91">
        <f t="shared" si="17"/>
        <v>1040.4</v>
      </c>
      <c r="K94" s="91">
        <f t="shared" si="17"/>
        <v>3916.1</v>
      </c>
      <c r="L94" s="91">
        <f t="shared" si="17"/>
        <v>20420.9</v>
      </c>
      <c r="M94" s="91">
        <f t="shared" si="17"/>
        <v>6946.700000000001</v>
      </c>
      <c r="N94" s="91">
        <f t="shared" si="17"/>
        <v>6324.8</v>
      </c>
      <c r="O94" s="91">
        <f t="shared" si="17"/>
        <v>3510.2</v>
      </c>
      <c r="P94" s="91">
        <f t="shared" si="17"/>
        <v>6793.5</v>
      </c>
      <c r="Q94" s="91">
        <f t="shared" si="17"/>
        <v>4960.1</v>
      </c>
      <c r="R94" s="91">
        <f t="shared" si="17"/>
        <v>6227.5</v>
      </c>
      <c r="S94" s="91">
        <f t="shared" si="17"/>
        <v>752.9</v>
      </c>
      <c r="T94" s="91">
        <f t="shared" si="17"/>
        <v>414.90000000000003</v>
      </c>
      <c r="U94" s="91">
        <f t="shared" si="17"/>
        <v>1938.9</v>
      </c>
      <c r="V94" s="91">
        <f t="shared" si="17"/>
        <v>4589.2</v>
      </c>
      <c r="W94" s="91">
        <f t="shared" si="17"/>
        <v>31334.800000000003</v>
      </c>
      <c r="X94" s="91">
        <f t="shared" si="17"/>
        <v>9862.799999999997</v>
      </c>
      <c r="Y94" s="91">
        <f t="shared" si="17"/>
        <v>3018.7</v>
      </c>
      <c r="Z94" s="91">
        <f t="shared" si="17"/>
        <v>1998.3999999999999</v>
      </c>
      <c r="AA94" s="91">
        <f>AA10+AA15+AA24+AA33+AA47+AA52+AA54+AA61+AA62+AA69+AA71+AA72+AA76+AA81+AA82+AA83+AA88+AA89+AA90+AA91+AA40</f>
        <v>0</v>
      </c>
      <c r="AB94" s="91">
        <f>AB10+AB15+AB24+AB33+AB47+AB52+AB54+AB61+AB62+AB69+AB71+AB72+AB76+AB81+AB82+AB83+AB88+AB89+AB90+AB91+AB40</f>
        <v>0</v>
      </c>
      <c r="AC94" s="91">
        <f>AC10+AC15+AC24+AC33+AC47+AC52+AC54+AC61+AC62+AC69+AC71+AC72+AC76+AC81+AC82+AC83+AC88+AC89+AC90+AC91+AC40</f>
        <v>0</v>
      </c>
      <c r="AD94" s="91">
        <f>AD10+AD15+AD24+AD33+AD47+AD52+AD54+AD61+AD62+AD69+AD71+AD72+AD76+AD81+AD82+AD83+AD88+AD89+AD90+AD91+AD40</f>
        <v>0</v>
      </c>
      <c r="AE94" s="91">
        <f>AE10+AE15+AE24+AE33+AE47+AE52+AE54+AE61+AE62+AE69+AE71+AE72+AE76+AE81+AE82+AE83+AE88+AE89+AE90+AE91+AE40</f>
        <v>0</v>
      </c>
      <c r="AF94" s="91"/>
      <c r="AG94" s="91">
        <f>AG10+AG15+AG24+AG33+AG47+AG52+AG54+AG61+AG62+AG69+AG71+AG72+AG76+AG81+AG82+AG83+AG88+AG89+AG90+AG91+AG70+AG40+AG92</f>
        <v>174137.39999999994</v>
      </c>
      <c r="AH94" s="91">
        <f>AH10+AH15+AH24+AH33+AH47+AH52+AH54+AH61+AH62+AH69+AH71+AH72+AH76+AH81+AH82+AH83+AH88+AH89+AH90+AH91+AH70+AH40+AH92</f>
        <v>82576.00000000003</v>
      </c>
    </row>
    <row r="95" spans="1:34" s="18" customFormat="1" ht="15.75">
      <c r="A95" s="98" t="s">
        <v>5</v>
      </c>
      <c r="B95" s="97">
        <f aca="true" t="shared" si="18" ref="B95:AE95">B11+B17+B26+B34+B55+B63+B73+B41+B77+B48</f>
        <v>60023.29999999999</v>
      </c>
      <c r="C95" s="97">
        <f t="shared" si="18"/>
        <v>17228.55999999999</v>
      </c>
      <c r="D95" s="72">
        <f t="shared" si="18"/>
        <v>0</v>
      </c>
      <c r="E95" s="72">
        <f t="shared" si="18"/>
        <v>4609.6</v>
      </c>
      <c r="F95" s="72">
        <f t="shared" si="18"/>
        <v>2443.0000000000005</v>
      </c>
      <c r="G95" s="72">
        <f t="shared" si="18"/>
        <v>247.3</v>
      </c>
      <c r="H95" s="72">
        <f>H11+H17+H26+H34+H55+H63+H73+H41+H77+H48</f>
        <v>130.6</v>
      </c>
      <c r="I95" s="72">
        <f t="shared" si="18"/>
        <v>120.7</v>
      </c>
      <c r="J95" s="72">
        <f t="shared" si="18"/>
        <v>0</v>
      </c>
      <c r="K95" s="72">
        <f t="shared" si="18"/>
        <v>1903.8</v>
      </c>
      <c r="L95" s="72">
        <f t="shared" si="18"/>
        <v>8041.599999999999</v>
      </c>
      <c r="M95" s="72">
        <f t="shared" si="18"/>
        <v>9620.2</v>
      </c>
      <c r="N95" s="72">
        <f t="shared" si="18"/>
        <v>71.9</v>
      </c>
      <c r="O95" s="72">
        <f t="shared" si="18"/>
        <v>0</v>
      </c>
      <c r="P95" s="72">
        <f t="shared" si="18"/>
        <v>0</v>
      </c>
      <c r="Q95" s="72">
        <f t="shared" si="18"/>
        <v>52.3</v>
      </c>
      <c r="R95" s="72">
        <f t="shared" si="18"/>
        <v>0</v>
      </c>
      <c r="S95" s="72">
        <f t="shared" si="18"/>
        <v>0</v>
      </c>
      <c r="T95" s="72">
        <f t="shared" si="18"/>
        <v>0</v>
      </c>
      <c r="U95" s="72">
        <f t="shared" si="18"/>
        <v>0</v>
      </c>
      <c r="V95" s="72">
        <f t="shared" si="18"/>
        <v>1784.6000000000001</v>
      </c>
      <c r="W95" s="72">
        <f>W11+W17+W26+W34+W55+W63+W73+W41+W77+W48</f>
        <v>15021.499999999998</v>
      </c>
      <c r="X95" s="72">
        <f t="shared" si="18"/>
        <v>5573.5</v>
      </c>
      <c r="Y95" s="72">
        <f t="shared" si="18"/>
        <v>2941.5</v>
      </c>
      <c r="Z95" s="72">
        <f t="shared" si="18"/>
        <v>111.6</v>
      </c>
      <c r="AA95" s="72">
        <f t="shared" si="18"/>
        <v>0</v>
      </c>
      <c r="AB95" s="72">
        <f t="shared" si="18"/>
        <v>0</v>
      </c>
      <c r="AC95" s="72">
        <f t="shared" si="18"/>
        <v>0</v>
      </c>
      <c r="AD95" s="72">
        <f t="shared" si="18"/>
        <v>0</v>
      </c>
      <c r="AE95" s="72">
        <f t="shared" si="18"/>
        <v>0</v>
      </c>
      <c r="AF95" s="72"/>
      <c r="AG95" s="72">
        <f>SUM(D95:AE95)</f>
        <v>52673.7</v>
      </c>
      <c r="AH95" s="140">
        <f>B95+C95-AG95</f>
        <v>24578.15999999999</v>
      </c>
    </row>
    <row r="96" spans="1:34" s="18" customFormat="1" ht="15.75">
      <c r="A96" s="98" t="s">
        <v>2</v>
      </c>
      <c r="B96" s="97">
        <f aca="true" t="shared" si="19" ref="B96:AE96">B12+B20+B29+B36+B57+B66+B44+B80+B74+B53</f>
        <v>2459.7999999999997</v>
      </c>
      <c r="C96" s="97">
        <f t="shared" si="19"/>
        <v>8923.899999999998</v>
      </c>
      <c r="D96" s="72">
        <f t="shared" si="19"/>
        <v>0</v>
      </c>
      <c r="E96" s="72">
        <f t="shared" si="19"/>
        <v>83.7</v>
      </c>
      <c r="F96" s="72">
        <f t="shared" si="19"/>
        <v>878.7</v>
      </c>
      <c r="G96" s="72">
        <f t="shared" si="19"/>
        <v>99.39999999999999</v>
      </c>
      <c r="H96" s="72">
        <f>H12+H20+H29+H36+H57+H66+H44+H80+H74+H53</f>
        <v>220.60000000000002</v>
      </c>
      <c r="I96" s="72">
        <f t="shared" si="19"/>
        <v>573</v>
      </c>
      <c r="J96" s="72">
        <f t="shared" si="19"/>
        <v>422.09999999999997</v>
      </c>
      <c r="K96" s="72">
        <f t="shared" si="19"/>
        <v>1.9</v>
      </c>
      <c r="L96" s="72">
        <f t="shared" si="19"/>
        <v>9.9</v>
      </c>
      <c r="M96" s="72">
        <f t="shared" si="19"/>
        <v>91.4</v>
      </c>
      <c r="N96" s="72">
        <f t="shared" si="19"/>
        <v>19.6</v>
      </c>
      <c r="O96" s="72">
        <f t="shared" si="19"/>
        <v>8.4</v>
      </c>
      <c r="P96" s="72">
        <f t="shared" si="19"/>
        <v>0</v>
      </c>
      <c r="Q96" s="72">
        <f t="shared" si="19"/>
        <v>7</v>
      </c>
      <c r="R96" s="72">
        <f t="shared" si="19"/>
        <v>33.5</v>
      </c>
      <c r="S96" s="72">
        <f t="shared" si="19"/>
        <v>18.7</v>
      </c>
      <c r="T96" s="72">
        <f t="shared" si="19"/>
        <v>35.9</v>
      </c>
      <c r="U96" s="72">
        <f t="shared" si="19"/>
        <v>1.1</v>
      </c>
      <c r="V96" s="72">
        <f t="shared" si="19"/>
        <v>37.4</v>
      </c>
      <c r="W96" s="72">
        <f t="shared" si="19"/>
        <v>66.8</v>
      </c>
      <c r="X96" s="72">
        <f t="shared" si="19"/>
        <v>0.1</v>
      </c>
      <c r="Y96" s="72">
        <f t="shared" si="19"/>
        <v>0</v>
      </c>
      <c r="Z96" s="72">
        <f t="shared" si="19"/>
        <v>0</v>
      </c>
      <c r="AA96" s="72">
        <f t="shared" si="19"/>
        <v>0</v>
      </c>
      <c r="AB96" s="72">
        <f t="shared" si="19"/>
        <v>0</v>
      </c>
      <c r="AC96" s="72">
        <f t="shared" si="19"/>
        <v>0</v>
      </c>
      <c r="AD96" s="72">
        <f t="shared" si="19"/>
        <v>0</v>
      </c>
      <c r="AE96" s="72">
        <f t="shared" si="19"/>
        <v>0</v>
      </c>
      <c r="AF96" s="72"/>
      <c r="AG96" s="72">
        <f>SUM(D96:AE96)</f>
        <v>2609.2000000000003</v>
      </c>
      <c r="AH96" s="140">
        <f>B96+C96-AG96</f>
        <v>8774.499999999996</v>
      </c>
    </row>
    <row r="97" spans="1:34" s="18" customFormat="1" ht="15.75">
      <c r="A97" s="98" t="s">
        <v>3</v>
      </c>
      <c r="B97" s="97">
        <f aca="true" t="shared" si="20" ref="B97:AB97">B18+B27+B42+B64+B78</f>
        <v>0</v>
      </c>
      <c r="C97" s="97">
        <f t="shared" si="20"/>
        <v>15.500000000000002</v>
      </c>
      <c r="D97" s="72">
        <f t="shared" si="20"/>
        <v>0</v>
      </c>
      <c r="E97" s="72">
        <f t="shared" si="20"/>
        <v>0</v>
      </c>
      <c r="F97" s="72">
        <f t="shared" si="20"/>
        <v>0.9</v>
      </c>
      <c r="G97" s="72">
        <f t="shared" si="20"/>
        <v>0</v>
      </c>
      <c r="H97" s="72">
        <f>H18+H27+H42+H64+H78</f>
        <v>0</v>
      </c>
      <c r="I97" s="72">
        <f t="shared" si="20"/>
        <v>0</v>
      </c>
      <c r="J97" s="72">
        <f t="shared" si="20"/>
        <v>0.5</v>
      </c>
      <c r="K97" s="72">
        <f t="shared" si="20"/>
        <v>0</v>
      </c>
      <c r="L97" s="72">
        <f t="shared" si="20"/>
        <v>0</v>
      </c>
      <c r="M97" s="72">
        <f t="shared" si="20"/>
        <v>0</v>
      </c>
      <c r="N97" s="72">
        <f t="shared" si="20"/>
        <v>0</v>
      </c>
      <c r="O97" s="72">
        <f t="shared" si="20"/>
        <v>0</v>
      </c>
      <c r="P97" s="72">
        <f t="shared" si="20"/>
        <v>0</v>
      </c>
      <c r="Q97" s="72">
        <f t="shared" si="20"/>
        <v>0</v>
      </c>
      <c r="R97" s="72">
        <f t="shared" si="20"/>
        <v>0</v>
      </c>
      <c r="S97" s="72">
        <f t="shared" si="20"/>
        <v>0</v>
      </c>
      <c r="T97" s="72">
        <f t="shared" si="20"/>
        <v>0</v>
      </c>
      <c r="U97" s="72">
        <f t="shared" si="20"/>
        <v>0</v>
      </c>
      <c r="V97" s="72">
        <f t="shared" si="20"/>
        <v>0</v>
      </c>
      <c r="W97" s="72">
        <f t="shared" si="20"/>
        <v>0</v>
      </c>
      <c r="X97" s="72">
        <f t="shared" si="20"/>
        <v>0</v>
      </c>
      <c r="Y97" s="72">
        <f t="shared" si="20"/>
        <v>0</v>
      </c>
      <c r="Z97" s="72">
        <f t="shared" si="20"/>
        <v>0</v>
      </c>
      <c r="AA97" s="72">
        <f t="shared" si="20"/>
        <v>0</v>
      </c>
      <c r="AB97" s="72">
        <f t="shared" si="20"/>
        <v>0</v>
      </c>
      <c r="AC97" s="72">
        <f>AC18+AC27+AC42+AC64</f>
        <v>0</v>
      </c>
      <c r="AD97" s="72">
        <f>AD18+AD27+AD42+AD64</f>
        <v>0</v>
      </c>
      <c r="AE97" s="72">
        <f>AE18+AE27+AE42+AE64</f>
        <v>0</v>
      </c>
      <c r="AF97" s="72"/>
      <c r="AG97" s="72">
        <f>SUM(D97:AE97)</f>
        <v>1.4</v>
      </c>
      <c r="AH97" s="140">
        <f>B97+C97-AG97</f>
        <v>14.100000000000001</v>
      </c>
    </row>
    <row r="98" spans="1:34" s="18" customFormat="1" ht="15.75">
      <c r="A98" s="98" t="s">
        <v>1</v>
      </c>
      <c r="B98" s="97">
        <f aca="true" t="shared" si="21" ref="B98:AE98">B19+B28+B65+B35+B43+B56+B79</f>
        <v>987.2</v>
      </c>
      <c r="C98" s="97">
        <f t="shared" si="21"/>
        <v>2604.999999999998</v>
      </c>
      <c r="D98" s="72">
        <f t="shared" si="21"/>
        <v>0</v>
      </c>
      <c r="E98" s="72">
        <f t="shared" si="21"/>
        <v>0</v>
      </c>
      <c r="F98" s="72">
        <f t="shared" si="21"/>
        <v>0</v>
      </c>
      <c r="G98" s="72">
        <f t="shared" si="21"/>
        <v>0</v>
      </c>
      <c r="H98" s="72">
        <f>H19+H28+H65+H35+H43+H56+H79</f>
        <v>107.19999999999999</v>
      </c>
      <c r="I98" s="72">
        <f t="shared" si="21"/>
        <v>0</v>
      </c>
      <c r="J98" s="72">
        <f t="shared" si="21"/>
        <v>0</v>
      </c>
      <c r="K98" s="72">
        <f t="shared" si="21"/>
        <v>0</v>
      </c>
      <c r="L98" s="72">
        <f t="shared" si="21"/>
        <v>8.1</v>
      </c>
      <c r="M98" s="72">
        <f t="shared" si="21"/>
        <v>10</v>
      </c>
      <c r="N98" s="72">
        <f t="shared" si="21"/>
        <v>147.3</v>
      </c>
      <c r="O98" s="72">
        <f t="shared" si="21"/>
        <v>70.5</v>
      </c>
      <c r="P98" s="72">
        <f t="shared" si="21"/>
        <v>0</v>
      </c>
      <c r="Q98" s="72">
        <f t="shared" si="21"/>
        <v>0</v>
      </c>
      <c r="R98" s="72">
        <f t="shared" si="21"/>
        <v>115.8</v>
      </c>
      <c r="S98" s="72">
        <f t="shared" si="21"/>
        <v>30.1</v>
      </c>
      <c r="T98" s="72">
        <f t="shared" si="21"/>
        <v>1.6</v>
      </c>
      <c r="U98" s="72">
        <f t="shared" si="21"/>
        <v>82.9</v>
      </c>
      <c r="V98" s="72">
        <f t="shared" si="21"/>
        <v>2.2</v>
      </c>
      <c r="W98" s="72">
        <f t="shared" si="21"/>
        <v>65.9</v>
      </c>
      <c r="X98" s="72">
        <f t="shared" si="21"/>
        <v>53.3</v>
      </c>
      <c r="Y98" s="72">
        <f t="shared" si="21"/>
        <v>0</v>
      </c>
      <c r="Z98" s="72">
        <f t="shared" si="21"/>
        <v>0</v>
      </c>
      <c r="AA98" s="72">
        <f t="shared" si="21"/>
        <v>0</v>
      </c>
      <c r="AB98" s="72">
        <f t="shared" si="21"/>
        <v>0</v>
      </c>
      <c r="AC98" s="72">
        <f t="shared" si="21"/>
        <v>0</v>
      </c>
      <c r="AD98" s="72">
        <f t="shared" si="21"/>
        <v>0</v>
      </c>
      <c r="AE98" s="72">
        <f t="shared" si="21"/>
        <v>0</v>
      </c>
      <c r="AF98" s="72"/>
      <c r="AG98" s="72">
        <f>SUM(D98:AE98)</f>
        <v>694.9000000000001</v>
      </c>
      <c r="AH98" s="140">
        <f>B98+C98-AG98</f>
        <v>2897.299999999998</v>
      </c>
    </row>
    <row r="99" spans="1:34" s="18" customFormat="1" ht="15.75">
      <c r="A99" s="98" t="s">
        <v>16</v>
      </c>
      <c r="B99" s="97">
        <f>B21+B30+B49+B37+B58+B13+B75+B67</f>
        <v>8255.5</v>
      </c>
      <c r="C99" s="97">
        <f aca="true" t="shared" si="22" ref="C99:Y99">C21+C30+C49+C37+C58+C13+C75+C67</f>
        <v>4246.900000000003</v>
      </c>
      <c r="D99" s="72">
        <f t="shared" si="22"/>
        <v>0</v>
      </c>
      <c r="E99" s="72">
        <f t="shared" si="22"/>
        <v>0</v>
      </c>
      <c r="F99" s="72">
        <f t="shared" si="22"/>
        <v>1559.4</v>
      </c>
      <c r="G99" s="72">
        <f t="shared" si="22"/>
        <v>0</v>
      </c>
      <c r="H99" s="72">
        <f>H21+H30+H49+H37+H58+H13+H75+H67</f>
        <v>659.1</v>
      </c>
      <c r="I99" s="72">
        <f t="shared" si="22"/>
        <v>272</v>
      </c>
      <c r="J99" s="72">
        <f t="shared" si="22"/>
        <v>453.3</v>
      </c>
      <c r="K99" s="72">
        <f t="shared" si="22"/>
        <v>2.8</v>
      </c>
      <c r="L99" s="72">
        <f t="shared" si="22"/>
        <v>877.3</v>
      </c>
      <c r="M99" s="72">
        <f t="shared" si="22"/>
        <v>151</v>
      </c>
      <c r="N99" s="72">
        <f t="shared" si="22"/>
        <v>20.4</v>
      </c>
      <c r="O99" s="72">
        <f t="shared" si="22"/>
        <v>193</v>
      </c>
      <c r="P99" s="72">
        <f t="shared" si="22"/>
        <v>1642.8</v>
      </c>
      <c r="Q99" s="72">
        <f t="shared" si="22"/>
        <v>30.5</v>
      </c>
      <c r="R99" s="72">
        <f t="shared" si="22"/>
        <v>314.7</v>
      </c>
      <c r="S99" s="72">
        <f t="shared" si="22"/>
        <v>347.4</v>
      </c>
      <c r="T99" s="72">
        <f t="shared" si="22"/>
        <v>9.6</v>
      </c>
      <c r="U99" s="72">
        <f t="shared" si="22"/>
        <v>138.5</v>
      </c>
      <c r="V99" s="72">
        <f t="shared" si="22"/>
        <v>27.1</v>
      </c>
      <c r="W99" s="72">
        <f t="shared" si="22"/>
        <v>1010.2</v>
      </c>
      <c r="X99" s="72">
        <f t="shared" si="22"/>
        <v>17.1</v>
      </c>
      <c r="Y99" s="72">
        <f t="shared" si="22"/>
        <v>15</v>
      </c>
      <c r="Z99" s="72">
        <f aca="true" t="shared" si="23" ref="Z99:AE99">Z21+Z30+Z49+Z37+Z58+Z13+Z75</f>
        <v>0</v>
      </c>
      <c r="AA99" s="72">
        <f t="shared" si="23"/>
        <v>0</v>
      </c>
      <c r="AB99" s="72">
        <f t="shared" si="23"/>
        <v>0</v>
      </c>
      <c r="AC99" s="72">
        <f t="shared" si="23"/>
        <v>0</v>
      </c>
      <c r="AD99" s="72">
        <f t="shared" si="23"/>
        <v>0</v>
      </c>
      <c r="AE99" s="72">
        <f t="shared" si="23"/>
        <v>0</v>
      </c>
      <c r="AF99" s="72"/>
      <c r="AG99" s="72">
        <f>SUM(D99:AE99)</f>
        <v>7741.200000000002</v>
      </c>
      <c r="AH99" s="140">
        <f>B99+C99-AG99</f>
        <v>4761.200000000002</v>
      </c>
    </row>
    <row r="100" spans="1:34" ht="12.75">
      <c r="A100" s="137" t="s">
        <v>35</v>
      </c>
      <c r="B100" s="20">
        <f>B94-B95-B96-B97-B98-B99</f>
        <v>117761.30000000002</v>
      </c>
      <c r="C100" s="20">
        <f aca="true" t="shared" si="24" ref="C100:AE100">C94-C95-C96-C97-C98-C99</f>
        <v>34206.44000000004</v>
      </c>
      <c r="D100" s="92">
        <f t="shared" si="24"/>
        <v>18523</v>
      </c>
      <c r="E100" s="92">
        <f t="shared" si="24"/>
        <v>2594.0999999999995</v>
      </c>
      <c r="F100" s="92">
        <f t="shared" si="24"/>
        <v>819.5999999999985</v>
      </c>
      <c r="G100" s="92">
        <f t="shared" si="24"/>
        <v>3044.7</v>
      </c>
      <c r="H100" s="92">
        <f>H94-H95-H96-H97-H98-H99</f>
        <v>6455.399999999999</v>
      </c>
      <c r="I100" s="92">
        <f t="shared" si="24"/>
        <v>16644.6</v>
      </c>
      <c r="J100" s="92">
        <f t="shared" si="24"/>
        <v>164.50000000000017</v>
      </c>
      <c r="K100" s="92">
        <f t="shared" si="24"/>
        <v>2007.6</v>
      </c>
      <c r="L100" s="92">
        <f t="shared" si="24"/>
        <v>11484.000000000004</v>
      </c>
      <c r="M100" s="92">
        <f t="shared" si="24"/>
        <v>-2925.9</v>
      </c>
      <c r="N100" s="92">
        <f t="shared" si="24"/>
        <v>6065.6</v>
      </c>
      <c r="O100" s="92">
        <f t="shared" si="24"/>
        <v>3238.2999999999997</v>
      </c>
      <c r="P100" s="92">
        <f t="shared" si="24"/>
        <v>5150.7</v>
      </c>
      <c r="Q100" s="92">
        <f t="shared" si="24"/>
        <v>4870.3</v>
      </c>
      <c r="R100" s="92">
        <f t="shared" si="24"/>
        <v>5763.5</v>
      </c>
      <c r="S100" s="92">
        <f t="shared" si="24"/>
        <v>356.69999999999993</v>
      </c>
      <c r="T100" s="92">
        <f t="shared" si="24"/>
        <v>367.8</v>
      </c>
      <c r="U100" s="92">
        <f t="shared" si="24"/>
        <v>1716.4</v>
      </c>
      <c r="V100" s="92">
        <f t="shared" si="24"/>
        <v>2737.8999999999996</v>
      </c>
      <c r="W100" s="92">
        <f t="shared" si="24"/>
        <v>15170.400000000005</v>
      </c>
      <c r="X100" s="92">
        <f t="shared" si="24"/>
        <v>4218.7999999999965</v>
      </c>
      <c r="Y100" s="92">
        <f t="shared" si="24"/>
        <v>62.19999999999982</v>
      </c>
      <c r="Z100" s="92">
        <f t="shared" si="24"/>
        <v>1886.8</v>
      </c>
      <c r="AA100" s="92">
        <f t="shared" si="24"/>
        <v>0</v>
      </c>
      <c r="AB100" s="92">
        <f t="shared" si="24"/>
        <v>0</v>
      </c>
      <c r="AC100" s="92">
        <f t="shared" si="24"/>
        <v>0</v>
      </c>
      <c r="AD100" s="92">
        <f t="shared" si="24"/>
        <v>0</v>
      </c>
      <c r="AE100" s="92">
        <f t="shared" si="24"/>
        <v>0</v>
      </c>
      <c r="AF100" s="92"/>
      <c r="AG100" s="92">
        <f>AG94-AG95-AG96-AG97-AG98-AG99</f>
        <v>110416.99999999996</v>
      </c>
      <c r="AH100" s="92">
        <f>AH94-AH95-AH96-AH97-AH98-AH99</f>
        <v>41550.74000000004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10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3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L186"/>
  <sheetViews>
    <sheetView view="pageBreakPreview" zoomScale="60" zoomScaleNormal="7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25" sqref="A25:IV25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11.75390625" style="0" customWidth="1"/>
    <col min="5" max="5" width="9.75390625" style="0" customWidth="1"/>
    <col min="6" max="6" width="11.625" style="0" hidden="1" customWidth="1"/>
    <col min="7" max="7" width="9.75390625" style="0" hidden="1" customWidth="1"/>
    <col min="8" max="10" width="9.75390625" style="0" customWidth="1"/>
    <col min="11" max="11" width="10.375" style="0" customWidth="1"/>
    <col min="12" max="12" width="10.75390625" style="0" customWidth="1"/>
    <col min="13" max="13" width="10.75390625" style="18" hidden="1" customWidth="1"/>
    <col min="14" max="14" width="11.375" style="0" hidden="1" customWidth="1"/>
    <col min="15" max="17" width="11.00390625" style="0" customWidth="1"/>
    <col min="18" max="18" width="10.00390625" style="18" customWidth="1"/>
    <col min="19" max="19" width="11.625" style="0" customWidth="1"/>
    <col min="20" max="20" width="10.875" style="0" hidden="1" customWidth="1"/>
    <col min="21" max="21" width="9.625" style="0" hidden="1" customWidth="1"/>
    <col min="22" max="24" width="10.25390625" style="0" customWidth="1"/>
    <col min="25" max="25" width="11.875" style="0" customWidth="1"/>
    <col min="26" max="26" width="11.75390625" style="18" customWidth="1"/>
    <col min="27" max="27" width="10.875" style="18" hidden="1" customWidth="1"/>
    <col min="28" max="28" width="10.875" style="0" hidden="1" customWidth="1"/>
    <col min="29" max="31" width="11.00390625" style="0" customWidth="1"/>
    <col min="32" max="32" width="10.625" style="0" customWidth="1"/>
    <col min="33" max="33" width="11.75390625" style="18" hidden="1" customWidth="1"/>
    <col min="34" max="35" width="8.75390625" style="18" hidden="1" customWidth="1"/>
    <col min="36" max="36" width="9.875" style="18" hidden="1" customWidth="1"/>
    <col min="37" max="39" width="8.25390625" style="0" hidden="1" customWidth="1"/>
    <col min="40" max="40" width="12.125" style="0" customWidth="1"/>
    <col min="41" max="41" width="11.125" style="0" customWidth="1"/>
    <col min="42" max="42" width="14.875" style="0" customWidth="1"/>
    <col min="43" max="43" width="13.625" style="0" customWidth="1"/>
  </cols>
  <sheetData>
    <row r="1" spans="1:42" s="18" customFormat="1" ht="21" customHeight="1">
      <c r="A1" s="172" t="s">
        <v>12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</row>
    <row r="2" spans="1:42" s="18" customFormat="1" ht="22.5" customHeight="1">
      <c r="A2" s="173" t="s">
        <v>66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</row>
    <row r="3" spans="2:42" s="18" customFormat="1" ht="17.25" customHeight="1">
      <c r="B3" s="116"/>
      <c r="C3" s="116"/>
      <c r="D3" s="116"/>
      <c r="AP3" s="117" t="s">
        <v>17</v>
      </c>
    </row>
    <row r="4" spans="1:42" s="18" customFormat="1" ht="63">
      <c r="A4" s="118" t="s">
        <v>26</v>
      </c>
      <c r="B4" s="119" t="s">
        <v>67</v>
      </c>
      <c r="C4" s="119" t="s">
        <v>18</v>
      </c>
      <c r="D4" s="119">
        <v>1</v>
      </c>
      <c r="E4" s="19">
        <v>2</v>
      </c>
      <c r="F4" s="19">
        <v>3</v>
      </c>
      <c r="G4" s="19">
        <v>4</v>
      </c>
      <c r="H4" s="19">
        <v>5</v>
      </c>
      <c r="I4" s="19">
        <v>6</v>
      </c>
      <c r="J4" s="19">
        <v>7</v>
      </c>
      <c r="K4" s="19">
        <v>8</v>
      </c>
      <c r="L4" s="19">
        <v>9</v>
      </c>
      <c r="M4" s="19">
        <v>10</v>
      </c>
      <c r="N4" s="19">
        <v>11</v>
      </c>
      <c r="O4" s="19">
        <v>12</v>
      </c>
      <c r="P4" s="19">
        <v>13</v>
      </c>
      <c r="Q4" s="19">
        <v>14</v>
      </c>
      <c r="R4" s="19">
        <v>15</v>
      </c>
      <c r="S4" s="19">
        <v>16</v>
      </c>
      <c r="T4" s="19">
        <v>17</v>
      </c>
      <c r="U4" s="19">
        <v>18</v>
      </c>
      <c r="V4" s="19">
        <v>19</v>
      </c>
      <c r="W4" s="19">
        <v>20</v>
      </c>
      <c r="X4" s="19">
        <v>21</v>
      </c>
      <c r="Y4" s="19">
        <v>22</v>
      </c>
      <c r="Z4" s="19">
        <v>23</v>
      </c>
      <c r="AA4" s="19">
        <v>24</v>
      </c>
      <c r="AB4" s="19">
        <v>25</v>
      </c>
      <c r="AC4" s="19">
        <v>27</v>
      </c>
      <c r="AD4" s="19">
        <v>28</v>
      </c>
      <c r="AE4" s="19">
        <v>29</v>
      </c>
      <c r="AF4" s="19">
        <v>30</v>
      </c>
      <c r="AG4" s="19"/>
      <c r="AH4" s="19"/>
      <c r="AI4" s="19"/>
      <c r="AJ4" s="19"/>
      <c r="AK4" s="19"/>
      <c r="AL4" s="19"/>
      <c r="AM4" s="19"/>
      <c r="AN4" s="119" t="s">
        <v>19</v>
      </c>
      <c r="AO4" s="120" t="s">
        <v>13</v>
      </c>
      <c r="AP4" s="120" t="s">
        <v>20</v>
      </c>
    </row>
    <row r="5" spans="1:42" s="18" customFormat="1" ht="15.75" hidden="1">
      <c r="A5" s="121" t="s">
        <v>42</v>
      </c>
      <c r="B5" s="86">
        <f>SUM(D5:AH5)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86"/>
      <c r="AO5" s="123"/>
      <c r="AP5" s="123"/>
    </row>
    <row r="6" spans="1:42" s="18" customFormat="1" ht="15.75" hidden="1">
      <c r="A6" s="121" t="s">
        <v>33</v>
      </c>
      <c r="B6" s="87">
        <f>SUM(D6:AM6)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122"/>
      <c r="AO6" s="123"/>
      <c r="AP6" s="123"/>
    </row>
    <row r="7" spans="1:42" s="18" customFormat="1" ht="15.75">
      <c r="A7" s="121" t="s">
        <v>36</v>
      </c>
      <c r="B7" s="87">
        <f>SUM(D7:AH7)</f>
        <v>36163.6</v>
      </c>
      <c r="C7" s="86">
        <v>7126.499999999993</v>
      </c>
      <c r="D7" s="122"/>
      <c r="E7" s="39">
        <v>18081.8</v>
      </c>
      <c r="F7" s="39"/>
      <c r="G7" s="39"/>
      <c r="H7" s="39">
        <v>0</v>
      </c>
      <c r="I7" s="39"/>
      <c r="J7" s="39"/>
      <c r="K7" s="125"/>
      <c r="L7" s="39"/>
      <c r="M7" s="39"/>
      <c r="N7" s="39"/>
      <c r="O7" s="39">
        <v>0</v>
      </c>
      <c r="P7" s="39">
        <v>18081.8</v>
      </c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86">
        <f>C7+E7+P7-AO16-AO25</f>
        <v>13351.999999999993</v>
      </c>
      <c r="AO7" s="86"/>
      <c r="AP7" s="123"/>
    </row>
    <row r="8" spans="1:64" s="18" customFormat="1" ht="18" customHeight="1">
      <c r="A8" s="126" t="s">
        <v>30</v>
      </c>
      <c r="B8" s="87">
        <f>SUM(E8:AK8)</f>
        <v>142007.7</v>
      </c>
      <c r="C8" s="87">
        <v>59425.20662000024</v>
      </c>
      <c r="D8" s="127">
        <v>9444.7</v>
      </c>
      <c r="E8" s="127">
        <v>3564.8</v>
      </c>
      <c r="F8" s="127">
        <v>0</v>
      </c>
      <c r="G8" s="127">
        <v>0</v>
      </c>
      <c r="H8" s="127">
        <v>4485.5</v>
      </c>
      <c r="I8" s="127">
        <v>8107.9</v>
      </c>
      <c r="J8" s="127">
        <v>8778.6</v>
      </c>
      <c r="K8" s="127">
        <v>14072.1</v>
      </c>
      <c r="L8" s="127">
        <v>6025.9</v>
      </c>
      <c r="M8" s="127">
        <v>0</v>
      </c>
      <c r="N8" s="127">
        <v>0</v>
      </c>
      <c r="O8" s="127">
        <v>9548.7</v>
      </c>
      <c r="P8" s="127">
        <v>4236.2</v>
      </c>
      <c r="Q8" s="127">
        <v>3986.1</v>
      </c>
      <c r="R8" s="127">
        <v>5894.6</v>
      </c>
      <c r="S8" s="127">
        <v>13323</v>
      </c>
      <c r="T8" s="127">
        <v>0</v>
      </c>
      <c r="U8" s="127">
        <v>0</v>
      </c>
      <c r="V8" s="127">
        <v>8991.2</v>
      </c>
      <c r="W8" s="127">
        <v>10003.3</v>
      </c>
      <c r="X8" s="127">
        <v>0</v>
      </c>
      <c r="Y8" s="127">
        <v>5223.1</v>
      </c>
      <c r="Z8" s="127">
        <v>6886.6</v>
      </c>
      <c r="AA8" s="127">
        <v>0</v>
      </c>
      <c r="AB8" s="127">
        <v>0</v>
      </c>
      <c r="AC8" s="127">
        <v>4393.9</v>
      </c>
      <c r="AD8" s="127">
        <v>4036.1</v>
      </c>
      <c r="AE8" s="127">
        <v>6059.4</v>
      </c>
      <c r="AF8" s="127">
        <v>14390.7</v>
      </c>
      <c r="AG8" s="127">
        <v>0</v>
      </c>
      <c r="AH8" s="127">
        <v>0</v>
      </c>
      <c r="AI8" s="62"/>
      <c r="AJ8" s="62"/>
      <c r="AK8" s="62"/>
      <c r="AL8" s="129"/>
      <c r="AM8" s="129"/>
      <c r="AN8" s="130">
        <f>SUM(D8:AM8)+C8-AO9+AO16+AO25</f>
        <v>52039.20662000024</v>
      </c>
      <c r="AO8" s="131"/>
      <c r="AP8" s="72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</row>
    <row r="9" spans="1:44" s="134" customFormat="1" ht="15.75">
      <c r="A9" s="126" t="s">
        <v>14</v>
      </c>
      <c r="B9" s="132">
        <f aca="true" t="shared" si="0" ref="B9:AM9">B10+B15+B24+B33+B47+B52+B54+B61+B62+B71+B72+B88+B76+B81+B83+B82+B69+B89+B90+B91+B70+B40+B92</f>
        <v>206143.30000000002</v>
      </c>
      <c r="C9" s="132">
        <v>82454.20000000001</v>
      </c>
      <c r="D9" s="90">
        <f t="shared" si="0"/>
        <v>6849.1</v>
      </c>
      <c r="E9" s="90">
        <f t="shared" si="0"/>
        <v>49242.7</v>
      </c>
      <c r="F9" s="90">
        <f t="shared" si="0"/>
        <v>0</v>
      </c>
      <c r="G9" s="90">
        <f t="shared" si="0"/>
        <v>0</v>
      </c>
      <c r="H9" s="90">
        <f>H10+H15+H24+H33+H47+H52+H54+H61+H62+H71+H72+H88+H76+H81+H83+H82+H69+H89+H90+H91+H70+H40+H92</f>
        <v>5626.700000000001</v>
      </c>
      <c r="I9" s="90">
        <f>I10+I15+I24+I33+I47+I52+I54+I61+I62+I71+I72+I88+I76+I81+I83+I82+I69+I89+I90+I91+I70+I40+I92</f>
        <v>-4243</v>
      </c>
      <c r="J9" s="90">
        <f>J10+J15+J24+J33+J47+J52+J54+J61+J62+J71+J72+J88+J76+J81+J83+J82+J69+J89+J90+J91+J70+J40+J92</f>
        <v>3077.4</v>
      </c>
      <c r="K9" s="90">
        <f t="shared" si="0"/>
        <v>2840.7</v>
      </c>
      <c r="L9" s="90">
        <f t="shared" si="0"/>
        <v>4780.199999999999</v>
      </c>
      <c r="M9" s="90">
        <f t="shared" si="0"/>
        <v>0</v>
      </c>
      <c r="N9" s="90">
        <f t="shared" si="0"/>
        <v>0</v>
      </c>
      <c r="O9" s="90">
        <f t="shared" si="0"/>
        <v>1840.3999999999999</v>
      </c>
      <c r="P9" s="90">
        <f>P10+P15+P24+P33+P47+P52+P54+P61+P62+P71+P72+P88+P76+P81+P83+P82+P69+P89+P90+P91+P70+P40+P92</f>
        <v>34471.200000000004</v>
      </c>
      <c r="Q9" s="90">
        <f>Q10+Q15+Q24+Q33+Q47+Q52+Q54+Q61+Q62+Q71+Q72+Q88+Q76+Q81+Q83+Q82+Q69+Q89+Q90+Q91+Q70+Q40+Q92</f>
        <v>9461.2</v>
      </c>
      <c r="R9" s="90">
        <f t="shared" si="0"/>
        <v>199.20000000000002</v>
      </c>
      <c r="S9" s="90">
        <f t="shared" si="0"/>
        <v>3050.6</v>
      </c>
      <c r="T9" s="90">
        <f t="shared" si="0"/>
        <v>0</v>
      </c>
      <c r="U9" s="90">
        <f t="shared" si="0"/>
        <v>0</v>
      </c>
      <c r="V9" s="90">
        <f t="shared" si="0"/>
        <v>2864.9</v>
      </c>
      <c r="W9" s="90">
        <f>W10+W15+W24+W33+W47+W52+W54+W61+W62+W71+W72+W88+W76+W81+W83+W82+W69+W89+W90+W91+W70+W40+W92</f>
        <v>3097.6</v>
      </c>
      <c r="X9" s="90">
        <f>X10+X15+X24+X33+X47+X52+X54+X61+X62+X71+X72+X88+X76+X81+X83+X82+X69+X89+X90+X91+X70+X40+X92</f>
        <v>2875.7</v>
      </c>
      <c r="Y9" s="90">
        <f t="shared" si="0"/>
        <v>3320.6</v>
      </c>
      <c r="Z9" s="90">
        <f t="shared" si="0"/>
        <v>17559.9</v>
      </c>
      <c r="AA9" s="90">
        <f t="shared" si="0"/>
        <v>0</v>
      </c>
      <c r="AB9" s="90">
        <f t="shared" si="0"/>
        <v>0</v>
      </c>
      <c r="AC9" s="90">
        <f t="shared" si="0"/>
        <v>31675.9</v>
      </c>
      <c r="AD9" s="90">
        <f>AD10+AD15+AD24+AD33+AD47+AD52+AD54+AD61+AD62+AD71+AD72+AD88+AD76+AD81+AD83+AD82+AD69+AD89+AD90+AD91+AD70+AD40+AD92</f>
        <v>5911.6</v>
      </c>
      <c r="AE9" s="90">
        <f>AE10+AE15+AE24+AE33+AE47+AE52+AE54+AE61+AE62+AE71+AE72+AE88+AE76+AE81+AE83+AE82+AE69+AE89+AE90+AE91+AE70+AE40+AE92</f>
        <v>2386.4</v>
      </c>
      <c r="AF9" s="90">
        <f t="shared" si="0"/>
        <v>1887.5</v>
      </c>
      <c r="AG9" s="90">
        <f t="shared" si="0"/>
        <v>0</v>
      </c>
      <c r="AH9" s="90">
        <f t="shared" si="0"/>
        <v>0</v>
      </c>
      <c r="AI9" s="90">
        <f t="shared" si="0"/>
        <v>0</v>
      </c>
      <c r="AJ9" s="90">
        <f t="shared" si="0"/>
        <v>0</v>
      </c>
      <c r="AK9" s="90">
        <f t="shared" si="0"/>
        <v>0</v>
      </c>
      <c r="AL9" s="90">
        <f t="shared" si="0"/>
        <v>0</v>
      </c>
      <c r="AM9" s="90">
        <f t="shared" si="0"/>
        <v>0</v>
      </c>
      <c r="AN9" s="90"/>
      <c r="AO9" s="90">
        <f>AO10+AO15+AO24+AO33+AO47+AO52+AO54+AO61+AO62+AO71+AO72+AO76+AO88+AO81+AO83+AO82+AO69+AO89+AO90+AO91+AO70+AO40+AO92</f>
        <v>188776.50000000003</v>
      </c>
      <c r="AP9" s="90">
        <f>AP10+AP15+AP24+AP33+AP47+AP52+AP54+AP61+AP62+AP71+AP72+AP76+AP88+AP81+AP83+AP82+AP69+AP89+AP91+AP90+AP70+AP40+AP92</f>
        <v>99942.80000000003</v>
      </c>
      <c r="AQ9" s="133"/>
      <c r="AR9" s="133"/>
    </row>
    <row r="10" spans="1:44" s="142" customFormat="1" ht="15.75">
      <c r="A10" s="138" t="s">
        <v>4</v>
      </c>
      <c r="B10" s="139">
        <v>18142.8</v>
      </c>
      <c r="C10" s="139">
        <v>5576.600000000002</v>
      </c>
      <c r="D10" s="140">
        <v>513.8</v>
      </c>
      <c r="E10" s="140">
        <v>443.9</v>
      </c>
      <c r="F10" s="140">
        <v>0</v>
      </c>
      <c r="G10" s="140">
        <v>0</v>
      </c>
      <c r="H10" s="140">
        <v>432.8</v>
      </c>
      <c r="I10" s="140">
        <v>161.2</v>
      </c>
      <c r="J10" s="140">
        <v>154.6</v>
      </c>
      <c r="K10" s="140">
        <v>72.7</v>
      </c>
      <c r="L10" s="140">
        <v>480.5</v>
      </c>
      <c r="M10" s="141">
        <v>0</v>
      </c>
      <c r="N10" s="140">
        <v>0</v>
      </c>
      <c r="O10" s="140">
        <v>5.6</v>
      </c>
      <c r="P10" s="140">
        <v>4306.4</v>
      </c>
      <c r="Q10" s="140">
        <v>1460.6</v>
      </c>
      <c r="R10" s="140">
        <v>6.4</v>
      </c>
      <c r="S10" s="140">
        <v>26.5</v>
      </c>
      <c r="T10" s="140"/>
      <c r="U10" s="140"/>
      <c r="V10" s="140">
        <v>6.4</v>
      </c>
      <c r="W10" s="140">
        <v>367.2</v>
      </c>
      <c r="X10" s="140">
        <v>102</v>
      </c>
      <c r="Y10" s="140">
        <v>309.4</v>
      </c>
      <c r="Z10" s="140">
        <v>863.4</v>
      </c>
      <c r="AA10" s="140"/>
      <c r="AB10" s="140"/>
      <c r="AC10" s="140">
        <v>791.5</v>
      </c>
      <c r="AD10" s="140">
        <v>5185.4</v>
      </c>
      <c r="AE10" s="140">
        <f>2016.7+9.2</f>
        <v>2025.9</v>
      </c>
      <c r="AF10" s="140"/>
      <c r="AG10" s="140"/>
      <c r="AH10" s="140"/>
      <c r="AI10" s="140"/>
      <c r="AJ10" s="140"/>
      <c r="AK10" s="140"/>
      <c r="AL10" s="140"/>
      <c r="AM10" s="140"/>
      <c r="AN10" s="140"/>
      <c r="AO10" s="140">
        <f aca="true" t="shared" si="1" ref="AO10:AO41">SUM(D10:AM10)</f>
        <v>17716.2</v>
      </c>
      <c r="AP10" s="140">
        <f>B10+C10-AO10</f>
        <v>6003.200000000001</v>
      </c>
      <c r="AR10" s="143"/>
    </row>
    <row r="11" spans="1:44" s="142" customFormat="1" ht="15.75">
      <c r="A11" s="144" t="s">
        <v>5</v>
      </c>
      <c r="B11" s="139">
        <f>17088.2-123.4+34.3</f>
        <v>16999.1</v>
      </c>
      <c r="C11" s="139">
        <v>4150.000000000007</v>
      </c>
      <c r="D11" s="140">
        <v>451.9</v>
      </c>
      <c r="E11" s="140">
        <v>413</v>
      </c>
      <c r="F11" s="140"/>
      <c r="G11" s="140"/>
      <c r="H11" s="140">
        <v>204.9</v>
      </c>
      <c r="I11" s="140">
        <v>151</v>
      </c>
      <c r="J11" s="140">
        <v>34.8</v>
      </c>
      <c r="K11" s="140"/>
      <c r="L11" s="140">
        <v>434.2</v>
      </c>
      <c r="M11" s="140"/>
      <c r="N11" s="140"/>
      <c r="O11" s="140"/>
      <c r="P11" s="140">
        <v>4292.3</v>
      </c>
      <c r="Q11" s="140">
        <v>1451.3</v>
      </c>
      <c r="R11" s="140"/>
      <c r="S11" s="140">
        <v>25</v>
      </c>
      <c r="T11" s="140"/>
      <c r="U11" s="140"/>
      <c r="V11" s="140"/>
      <c r="W11" s="140">
        <v>360</v>
      </c>
      <c r="X11" s="140">
        <v>102</v>
      </c>
      <c r="Y11" s="140">
        <v>307.8</v>
      </c>
      <c r="Z11" s="140">
        <v>772.5</v>
      </c>
      <c r="AA11" s="140"/>
      <c r="AB11" s="140"/>
      <c r="AC11" s="140">
        <v>783.1</v>
      </c>
      <c r="AD11" s="140">
        <v>5051</v>
      </c>
      <c r="AE11" s="140">
        <f>2015.7+9.2</f>
        <v>2024.9</v>
      </c>
      <c r="AF11" s="140"/>
      <c r="AG11" s="140"/>
      <c r="AH11" s="140"/>
      <c r="AI11" s="140"/>
      <c r="AJ11" s="140"/>
      <c r="AK11" s="140"/>
      <c r="AL11" s="140"/>
      <c r="AM11" s="140"/>
      <c r="AN11" s="140"/>
      <c r="AO11" s="140">
        <f t="shared" si="1"/>
        <v>16859.7</v>
      </c>
      <c r="AP11" s="140">
        <f>B11+C11-AO11</f>
        <v>4289.400000000005</v>
      </c>
      <c r="AR11" s="143"/>
    </row>
    <row r="12" spans="1:44" s="142" customFormat="1" ht="15.75">
      <c r="A12" s="144" t="s">
        <v>2</v>
      </c>
      <c r="B12" s="145">
        <f>109.7-63.4</f>
        <v>46.300000000000004</v>
      </c>
      <c r="C12" s="139">
        <v>101.50000000000001</v>
      </c>
      <c r="D12" s="140"/>
      <c r="E12" s="140"/>
      <c r="F12" s="140"/>
      <c r="G12" s="140"/>
      <c r="H12" s="140"/>
      <c r="I12" s="140"/>
      <c r="J12" s="140"/>
      <c r="K12" s="140">
        <v>65.8</v>
      </c>
      <c r="L12" s="140">
        <v>1.9</v>
      </c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>
        <v>0.8</v>
      </c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>
        <f t="shared" si="1"/>
        <v>68.5</v>
      </c>
      <c r="AP12" s="140">
        <f>B12+C12-AO12</f>
        <v>79.30000000000001</v>
      </c>
      <c r="AR12" s="143"/>
    </row>
    <row r="13" spans="1:44" s="142" customFormat="1" ht="15.75" hidden="1">
      <c r="A13" s="144" t="s">
        <v>16</v>
      </c>
      <c r="B13" s="139"/>
      <c r="C13" s="139">
        <v>0</v>
      </c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>
        <f t="shared" si="1"/>
        <v>0</v>
      </c>
      <c r="AP13" s="140">
        <f>B13+C13-AO13</f>
        <v>0</v>
      </c>
      <c r="AR13" s="143"/>
    </row>
    <row r="14" spans="1:44" s="142" customFormat="1" ht="15.75">
      <c r="A14" s="144" t="s">
        <v>23</v>
      </c>
      <c r="B14" s="139">
        <f aca="true" t="shared" si="2" ref="B14:AH14">B10-B11-B12-B13</f>
        <v>1097.4000000000008</v>
      </c>
      <c r="C14" s="139">
        <v>1325.099999999995</v>
      </c>
      <c r="D14" s="140">
        <f t="shared" si="2"/>
        <v>61.89999999999998</v>
      </c>
      <c r="E14" s="140">
        <f t="shared" si="2"/>
        <v>30.899999999999977</v>
      </c>
      <c r="F14" s="140">
        <f t="shared" si="2"/>
        <v>0</v>
      </c>
      <c r="G14" s="140">
        <f t="shared" si="2"/>
        <v>0</v>
      </c>
      <c r="H14" s="140">
        <f>H10-H11-H12-H13</f>
        <v>227.9</v>
      </c>
      <c r="I14" s="140">
        <f>I10-I11-I12-I13</f>
        <v>10.199999999999989</v>
      </c>
      <c r="J14" s="140">
        <f>J10-J11-J12-J13</f>
        <v>119.8</v>
      </c>
      <c r="K14" s="140">
        <f t="shared" si="2"/>
        <v>6.900000000000006</v>
      </c>
      <c r="L14" s="140">
        <f t="shared" si="2"/>
        <v>44.40000000000001</v>
      </c>
      <c r="M14" s="140">
        <f t="shared" si="2"/>
        <v>0</v>
      </c>
      <c r="N14" s="140">
        <f t="shared" si="2"/>
        <v>0</v>
      </c>
      <c r="O14" s="140">
        <f t="shared" si="2"/>
        <v>5.6</v>
      </c>
      <c r="P14" s="140">
        <f>P10-P11-P12-P13</f>
        <v>14.099999999999454</v>
      </c>
      <c r="Q14" s="140">
        <f>Q10-Q11-Q12-Q13</f>
        <v>9.299999999999955</v>
      </c>
      <c r="R14" s="140">
        <f t="shared" si="2"/>
        <v>6.4</v>
      </c>
      <c r="S14" s="140">
        <f t="shared" si="2"/>
        <v>1.5</v>
      </c>
      <c r="T14" s="140">
        <f t="shared" si="2"/>
        <v>0</v>
      </c>
      <c r="U14" s="140">
        <f t="shared" si="2"/>
        <v>0</v>
      </c>
      <c r="V14" s="140">
        <f t="shared" si="2"/>
        <v>6.4</v>
      </c>
      <c r="W14" s="140">
        <f>W10-W11-W12-W13</f>
        <v>7.199999999999989</v>
      </c>
      <c r="X14" s="140">
        <f>X10-X11-X12-X13</f>
        <v>0</v>
      </c>
      <c r="Y14" s="140">
        <f t="shared" si="2"/>
        <v>1.599999999999966</v>
      </c>
      <c r="Z14" s="140">
        <f t="shared" si="2"/>
        <v>90.09999999999998</v>
      </c>
      <c r="AA14" s="140">
        <f t="shared" si="2"/>
        <v>0</v>
      </c>
      <c r="AB14" s="140">
        <f t="shared" si="2"/>
        <v>0</v>
      </c>
      <c r="AC14" s="140">
        <f t="shared" si="2"/>
        <v>8.399999999999977</v>
      </c>
      <c r="AD14" s="140">
        <f>AD10-AD11-AD12-AD13</f>
        <v>134.39999999999964</v>
      </c>
      <c r="AE14" s="140">
        <f>AE10-AE11-AE12-AE13</f>
        <v>1</v>
      </c>
      <c r="AF14" s="140">
        <f t="shared" si="2"/>
        <v>0</v>
      </c>
      <c r="AG14" s="140">
        <f t="shared" si="2"/>
        <v>0</v>
      </c>
      <c r="AH14" s="140">
        <f t="shared" si="2"/>
        <v>0</v>
      </c>
      <c r="AI14" s="140"/>
      <c r="AJ14" s="140"/>
      <c r="AK14" s="140"/>
      <c r="AL14" s="140"/>
      <c r="AM14" s="140"/>
      <c r="AN14" s="140"/>
      <c r="AO14" s="140">
        <f t="shared" si="1"/>
        <v>787.9999999999989</v>
      </c>
      <c r="AP14" s="140">
        <f>AP10-AP11-AP12-AP13</f>
        <v>1634.4999999999957</v>
      </c>
      <c r="AR14" s="143"/>
    </row>
    <row r="15" spans="1:44" s="142" customFormat="1" ht="15" customHeight="1">
      <c r="A15" s="138" t="s">
        <v>6</v>
      </c>
      <c r="B15" s="139">
        <f>52205.4-1300-900</f>
        <v>50005.4</v>
      </c>
      <c r="C15" s="139">
        <v>37807.40000000003</v>
      </c>
      <c r="D15" s="146">
        <f>75.1-5.3</f>
        <v>69.8</v>
      </c>
      <c r="E15" s="146">
        <v>32.8</v>
      </c>
      <c r="F15" s="146">
        <v>0</v>
      </c>
      <c r="G15" s="146">
        <v>0</v>
      </c>
      <c r="H15" s="146">
        <v>2</v>
      </c>
      <c r="I15" s="146">
        <v>270.5</v>
      </c>
      <c r="J15" s="146">
        <v>114.3</v>
      </c>
      <c r="K15" s="146">
        <v>353.9</v>
      </c>
      <c r="L15" s="146">
        <v>464.1</v>
      </c>
      <c r="M15" s="146">
        <v>0</v>
      </c>
      <c r="N15" s="146">
        <v>0</v>
      </c>
      <c r="O15" s="146">
        <v>118.4</v>
      </c>
      <c r="P15" s="146">
        <f>8521.6+2964.3</f>
        <v>11485.900000000001</v>
      </c>
      <c r="Q15" s="146">
        <v>439.8</v>
      </c>
      <c r="R15" s="146">
        <v>85.9</v>
      </c>
      <c r="S15" s="146">
        <v>464.2</v>
      </c>
      <c r="T15" s="146"/>
      <c r="U15" s="146"/>
      <c r="V15" s="146">
        <v>188.6</v>
      </c>
      <c r="W15" s="146">
        <v>56.8</v>
      </c>
      <c r="X15" s="146">
        <v>478.9</v>
      </c>
      <c r="Y15" s="146">
        <v>24.5</v>
      </c>
      <c r="Z15" s="146">
        <f>727.8</f>
        <v>727.8</v>
      </c>
      <c r="AA15" s="146"/>
      <c r="AB15" s="146"/>
      <c r="AC15" s="146">
        <f>15496+9928.2+0.1</f>
        <v>25424.3</v>
      </c>
      <c r="AD15" s="146">
        <v>63</v>
      </c>
      <c r="AE15" s="146">
        <f>44.9+4.5</f>
        <v>49.4</v>
      </c>
      <c r="AF15" s="146">
        <v>0.3</v>
      </c>
      <c r="AG15" s="146"/>
      <c r="AH15" s="146"/>
      <c r="AI15" s="140"/>
      <c r="AJ15" s="140"/>
      <c r="AK15" s="140"/>
      <c r="AL15" s="140"/>
      <c r="AM15" s="140"/>
      <c r="AN15" s="140"/>
      <c r="AO15" s="140">
        <f t="shared" si="1"/>
        <v>40915.200000000004</v>
      </c>
      <c r="AP15" s="140">
        <f aca="true" t="shared" si="3" ref="AP15:AP31">B15+C15-AO15</f>
        <v>46897.60000000003</v>
      </c>
      <c r="AR15" s="143"/>
    </row>
    <row r="16" spans="1:44" s="152" customFormat="1" ht="15" customHeight="1">
      <c r="A16" s="147" t="s">
        <v>38</v>
      </c>
      <c r="B16" s="148">
        <v>19125.4</v>
      </c>
      <c r="C16" s="148">
        <v>6627.300000000003</v>
      </c>
      <c r="D16" s="149"/>
      <c r="E16" s="149">
        <v>0</v>
      </c>
      <c r="F16" s="149">
        <v>0</v>
      </c>
      <c r="G16" s="149">
        <v>0</v>
      </c>
      <c r="H16" s="149">
        <v>0</v>
      </c>
      <c r="I16" s="149">
        <v>0</v>
      </c>
      <c r="J16" s="149">
        <v>0</v>
      </c>
      <c r="K16" s="149">
        <v>0</v>
      </c>
      <c r="L16" s="149">
        <v>0</v>
      </c>
      <c r="M16" s="149">
        <v>0</v>
      </c>
      <c r="N16" s="149">
        <v>0</v>
      </c>
      <c r="O16" s="149">
        <v>0</v>
      </c>
      <c r="P16" s="149">
        <v>2964.3</v>
      </c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>
        <v>9928.2</v>
      </c>
      <c r="AD16" s="149"/>
      <c r="AE16" s="149"/>
      <c r="AF16" s="149"/>
      <c r="AG16" s="149"/>
      <c r="AH16" s="149"/>
      <c r="AI16" s="149">
        <v>0</v>
      </c>
      <c r="AJ16" s="149">
        <v>0</v>
      </c>
      <c r="AK16" s="149">
        <v>0</v>
      </c>
      <c r="AL16" s="149">
        <v>0</v>
      </c>
      <c r="AM16" s="149">
        <v>0</v>
      </c>
      <c r="AN16" s="150"/>
      <c r="AO16" s="149">
        <f t="shared" si="1"/>
        <v>12892.5</v>
      </c>
      <c r="AP16" s="149">
        <f t="shared" si="3"/>
        <v>12860.200000000004</v>
      </c>
      <c r="AQ16" s="151"/>
      <c r="AR16" s="143"/>
    </row>
    <row r="17" spans="1:44" s="142" customFormat="1" ht="15.75">
      <c r="A17" s="144" t="s">
        <v>5</v>
      </c>
      <c r="B17" s="139">
        <v>41870.3</v>
      </c>
      <c r="C17" s="139">
        <v>18105.15999999998</v>
      </c>
      <c r="D17" s="140">
        <v>69.8</v>
      </c>
      <c r="E17" s="140">
        <v>5.3</v>
      </c>
      <c r="F17" s="140">
        <v>0</v>
      </c>
      <c r="G17" s="140">
        <v>0</v>
      </c>
      <c r="H17" s="140">
        <v>0</v>
      </c>
      <c r="I17" s="140">
        <v>26.6</v>
      </c>
      <c r="J17" s="140">
        <v>0</v>
      </c>
      <c r="K17" s="140">
        <v>0</v>
      </c>
      <c r="L17" s="140">
        <v>0</v>
      </c>
      <c r="M17" s="140">
        <v>0</v>
      </c>
      <c r="N17" s="140">
        <v>0</v>
      </c>
      <c r="O17" s="140">
        <v>0</v>
      </c>
      <c r="P17" s="140">
        <f>7961.1+2964.3</f>
        <v>10925.400000000001</v>
      </c>
      <c r="Q17" s="140"/>
      <c r="R17" s="140"/>
      <c r="S17" s="140"/>
      <c r="T17" s="140"/>
      <c r="U17" s="140"/>
      <c r="V17" s="140"/>
      <c r="W17" s="140"/>
      <c r="X17" s="140"/>
      <c r="Y17" s="140"/>
      <c r="Z17" s="140">
        <v>2.9</v>
      </c>
      <c r="AA17" s="140"/>
      <c r="AB17" s="140"/>
      <c r="AC17" s="140">
        <f>15219.3+9928.2</f>
        <v>25147.5</v>
      </c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>
        <f t="shared" si="1"/>
        <v>36177.5</v>
      </c>
      <c r="AP17" s="140">
        <f t="shared" si="3"/>
        <v>23797.959999999985</v>
      </c>
      <c r="AQ17" s="143"/>
      <c r="AR17" s="143"/>
    </row>
    <row r="18" spans="1:44" s="142" customFormat="1" ht="15.75">
      <c r="A18" s="144" t="s">
        <v>3</v>
      </c>
      <c r="B18" s="139"/>
      <c r="C18" s="139">
        <v>14.100000000000001</v>
      </c>
      <c r="D18" s="140"/>
      <c r="E18" s="140"/>
      <c r="F18" s="140"/>
      <c r="G18" s="140"/>
      <c r="H18" s="140"/>
      <c r="I18" s="140">
        <v>0</v>
      </c>
      <c r="J18" s="140"/>
      <c r="K18" s="140"/>
      <c r="L18" s="140">
        <v>0</v>
      </c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>
        <f t="shared" si="1"/>
        <v>0</v>
      </c>
      <c r="AP18" s="140">
        <f t="shared" si="3"/>
        <v>14.100000000000001</v>
      </c>
      <c r="AR18" s="143"/>
    </row>
    <row r="19" spans="1:44" s="142" customFormat="1" ht="15.75">
      <c r="A19" s="144" t="s">
        <v>1</v>
      </c>
      <c r="B19" s="139">
        <v>1503.1</v>
      </c>
      <c r="C19" s="139">
        <v>2015.899999999998</v>
      </c>
      <c r="D19" s="140"/>
      <c r="E19" s="140"/>
      <c r="F19" s="140"/>
      <c r="G19" s="140"/>
      <c r="H19" s="140">
        <v>0</v>
      </c>
      <c r="I19" s="140">
        <v>2.7</v>
      </c>
      <c r="J19" s="140">
        <v>0</v>
      </c>
      <c r="K19" s="140">
        <v>199.7</v>
      </c>
      <c r="L19" s="140">
        <v>0</v>
      </c>
      <c r="M19" s="140">
        <v>0</v>
      </c>
      <c r="N19" s="140">
        <v>0</v>
      </c>
      <c r="O19" s="140">
        <v>35.4</v>
      </c>
      <c r="P19" s="140">
        <v>0</v>
      </c>
      <c r="Q19" s="140">
        <v>373.2</v>
      </c>
      <c r="R19" s="140"/>
      <c r="S19" s="140"/>
      <c r="T19" s="140"/>
      <c r="U19" s="140"/>
      <c r="V19" s="140">
        <v>108.8</v>
      </c>
      <c r="W19" s="140"/>
      <c r="X19" s="140">
        <v>246.5</v>
      </c>
      <c r="Y19" s="140"/>
      <c r="Z19" s="140">
        <v>178.4</v>
      </c>
      <c r="AA19" s="140"/>
      <c r="AB19" s="140"/>
      <c r="AC19" s="140">
        <v>81.5</v>
      </c>
      <c r="AD19" s="140"/>
      <c r="AE19" s="140"/>
      <c r="AF19" s="140"/>
      <c r="AG19" s="140"/>
      <c r="AH19" s="140"/>
      <c r="AI19" s="140">
        <v>0</v>
      </c>
      <c r="AJ19" s="140">
        <v>0</v>
      </c>
      <c r="AK19" s="140">
        <v>0</v>
      </c>
      <c r="AL19" s="140">
        <v>0</v>
      </c>
      <c r="AM19" s="140">
        <v>0</v>
      </c>
      <c r="AN19" s="140"/>
      <c r="AO19" s="140">
        <f t="shared" si="1"/>
        <v>1226.2</v>
      </c>
      <c r="AP19" s="140">
        <f t="shared" si="3"/>
        <v>2292.7999999999984</v>
      </c>
      <c r="AR19" s="143"/>
    </row>
    <row r="20" spans="1:44" s="142" customFormat="1" ht="15.75">
      <c r="A20" s="144" t="s">
        <v>2</v>
      </c>
      <c r="B20" s="139">
        <f>4503-1300-900+5</f>
        <v>2308</v>
      </c>
      <c r="C20" s="139">
        <v>7464.700000000001</v>
      </c>
      <c r="D20" s="140"/>
      <c r="E20" s="140">
        <v>27.5</v>
      </c>
      <c r="F20" s="140">
        <v>0</v>
      </c>
      <c r="G20" s="140">
        <v>0</v>
      </c>
      <c r="H20" s="140">
        <v>1.1</v>
      </c>
      <c r="I20" s="140">
        <v>229.4</v>
      </c>
      <c r="J20" s="140">
        <v>24.7</v>
      </c>
      <c r="K20" s="140">
        <v>62.2</v>
      </c>
      <c r="L20" s="140">
        <f>30.6-1.5</f>
        <v>29.1</v>
      </c>
      <c r="M20" s="140">
        <v>0</v>
      </c>
      <c r="N20" s="140">
        <v>0</v>
      </c>
      <c r="O20" s="140">
        <v>13.6</v>
      </c>
      <c r="P20" s="140">
        <v>174.1</v>
      </c>
      <c r="Q20" s="140">
        <v>44.5</v>
      </c>
      <c r="R20" s="140"/>
      <c r="S20" s="140">
        <f>4.5+23.5</f>
        <v>28</v>
      </c>
      <c r="T20" s="140"/>
      <c r="U20" s="140"/>
      <c r="V20" s="140">
        <v>15.9</v>
      </c>
      <c r="W20" s="140">
        <v>0.6</v>
      </c>
      <c r="X20" s="140">
        <v>3.7</v>
      </c>
      <c r="Y20" s="140">
        <v>0.6</v>
      </c>
      <c r="Z20" s="140">
        <v>2.5</v>
      </c>
      <c r="AA20" s="140"/>
      <c r="AB20" s="140"/>
      <c r="AC20" s="140">
        <v>0.3</v>
      </c>
      <c r="AD20" s="140">
        <v>36.3</v>
      </c>
      <c r="AE20" s="140">
        <v>4.5</v>
      </c>
      <c r="AF20" s="140"/>
      <c r="AG20" s="140"/>
      <c r="AH20" s="140"/>
      <c r="AI20" s="140"/>
      <c r="AJ20" s="140"/>
      <c r="AK20" s="140"/>
      <c r="AL20" s="140"/>
      <c r="AM20" s="140"/>
      <c r="AN20" s="140"/>
      <c r="AO20" s="140">
        <f t="shared" si="1"/>
        <v>698.6</v>
      </c>
      <c r="AP20" s="140">
        <f t="shared" si="3"/>
        <v>9074.1</v>
      </c>
      <c r="AR20" s="143"/>
    </row>
    <row r="21" spans="1:44" s="142" customFormat="1" ht="15.75">
      <c r="A21" s="144" t="s">
        <v>16</v>
      </c>
      <c r="B21" s="139">
        <v>579.4</v>
      </c>
      <c r="C21" s="139">
        <v>964.4999999999998</v>
      </c>
      <c r="D21" s="140"/>
      <c r="E21" s="140"/>
      <c r="F21" s="140"/>
      <c r="G21" s="140"/>
      <c r="H21" s="140">
        <v>0</v>
      </c>
      <c r="I21" s="140"/>
      <c r="J21" s="140"/>
      <c r="K21" s="140"/>
      <c r="L21" s="140"/>
      <c r="M21" s="140"/>
      <c r="N21" s="140"/>
      <c r="O21" s="140">
        <v>64.7</v>
      </c>
      <c r="P21" s="140">
        <v>236.2</v>
      </c>
      <c r="Q21" s="140"/>
      <c r="R21" s="140"/>
      <c r="S21" s="140">
        <v>116</v>
      </c>
      <c r="T21" s="140"/>
      <c r="U21" s="140"/>
      <c r="V21" s="140"/>
      <c r="W21" s="140"/>
      <c r="X21" s="140"/>
      <c r="Y21" s="140"/>
      <c r="Z21" s="140"/>
      <c r="AA21" s="140"/>
      <c r="AB21" s="140"/>
      <c r="AC21" s="140">
        <v>84.5</v>
      </c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>
        <f t="shared" si="1"/>
        <v>501.4</v>
      </c>
      <c r="AP21" s="140">
        <f t="shared" si="3"/>
        <v>1042.4999999999995</v>
      </c>
      <c r="AR21" s="143"/>
    </row>
    <row r="22" spans="1:44" s="142" customFormat="1" ht="15.75" hidden="1">
      <c r="A22" s="144" t="s">
        <v>15</v>
      </c>
      <c r="B22" s="153"/>
      <c r="C22" s="139">
        <v>0</v>
      </c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>
        <f t="shared" si="1"/>
        <v>0</v>
      </c>
      <c r="AP22" s="140">
        <f t="shared" si="3"/>
        <v>0</v>
      </c>
      <c r="AR22" s="143"/>
    </row>
    <row r="23" spans="1:44" s="142" customFormat="1" ht="15.75">
      <c r="A23" s="144" t="s">
        <v>23</v>
      </c>
      <c r="B23" s="139">
        <f>B15-B17-B18-B19-B20-B21-B22</f>
        <v>3744.599999999998</v>
      </c>
      <c r="C23" s="139">
        <v>9242.999999999998</v>
      </c>
      <c r="D23" s="140">
        <f aca="true" t="shared" si="4" ref="D23:AM23">D15-D17-D18-D19-D20-D21-D22</f>
        <v>0</v>
      </c>
      <c r="E23" s="140">
        <f t="shared" si="4"/>
        <v>-3.552713678800501E-15</v>
      </c>
      <c r="F23" s="140">
        <f t="shared" si="4"/>
        <v>0</v>
      </c>
      <c r="G23" s="140">
        <f t="shared" si="4"/>
        <v>0</v>
      </c>
      <c r="H23" s="140">
        <f>H15-H17-H18-H19-H20-H21-H22</f>
        <v>0.8999999999999999</v>
      </c>
      <c r="I23" s="140">
        <f>I15-I17-I18-I19-I20-I21-I22</f>
        <v>11.800000000000011</v>
      </c>
      <c r="J23" s="140">
        <f>J15-J17-J18-J19-J20-J21-J22</f>
        <v>89.6</v>
      </c>
      <c r="K23" s="140">
        <f t="shared" si="4"/>
        <v>91.99999999999999</v>
      </c>
      <c r="L23" s="140">
        <f t="shared" si="4"/>
        <v>435</v>
      </c>
      <c r="M23" s="140">
        <f t="shared" si="4"/>
        <v>0</v>
      </c>
      <c r="N23" s="140">
        <f t="shared" si="4"/>
        <v>0</v>
      </c>
      <c r="O23" s="140">
        <f t="shared" si="4"/>
        <v>4.700000000000003</v>
      </c>
      <c r="P23" s="140">
        <f>P15-P17-P18-P19-P20-P21-P22</f>
        <v>150.2</v>
      </c>
      <c r="Q23" s="140">
        <f>Q15-Q17-Q18-Q19-Q20-Q21-Q22</f>
        <v>22.100000000000023</v>
      </c>
      <c r="R23" s="140">
        <f t="shared" si="4"/>
        <v>85.9</v>
      </c>
      <c r="S23" s="140">
        <f t="shared" si="4"/>
        <v>320.2</v>
      </c>
      <c r="T23" s="140">
        <f t="shared" si="4"/>
        <v>0</v>
      </c>
      <c r="U23" s="140">
        <f t="shared" si="4"/>
        <v>0</v>
      </c>
      <c r="V23" s="140">
        <f t="shared" si="4"/>
        <v>63.9</v>
      </c>
      <c r="W23" s="140">
        <f>W15-W17-W18-W19-W20-W21-W22</f>
        <v>56.199999999999996</v>
      </c>
      <c r="X23" s="140">
        <f>X15-X17-X18-X19-X20-X21-X22</f>
        <v>228.7</v>
      </c>
      <c r="Y23" s="140">
        <f t="shared" si="4"/>
        <v>23.9</v>
      </c>
      <c r="Z23" s="140">
        <f t="shared" si="4"/>
        <v>544</v>
      </c>
      <c r="AA23" s="140">
        <f t="shared" si="4"/>
        <v>0</v>
      </c>
      <c r="AB23" s="140">
        <f t="shared" si="4"/>
        <v>0</v>
      </c>
      <c r="AC23" s="140">
        <f t="shared" si="4"/>
        <v>110.49999999999926</v>
      </c>
      <c r="AD23" s="140">
        <f>AD15-AD17-AD18-AD19-AD20-AD21-AD22</f>
        <v>26.700000000000003</v>
      </c>
      <c r="AE23" s="140">
        <f>AE15-AE17-AE18-AE19-AE20-AE21-AE22</f>
        <v>44.9</v>
      </c>
      <c r="AF23" s="140">
        <f t="shared" si="4"/>
        <v>0.3</v>
      </c>
      <c r="AG23" s="140">
        <f t="shared" si="4"/>
        <v>0</v>
      </c>
      <c r="AH23" s="140">
        <f t="shared" si="4"/>
        <v>0</v>
      </c>
      <c r="AI23" s="140">
        <f t="shared" si="4"/>
        <v>0</v>
      </c>
      <c r="AJ23" s="140">
        <f t="shared" si="4"/>
        <v>0</v>
      </c>
      <c r="AK23" s="140">
        <f t="shared" si="4"/>
        <v>0</v>
      </c>
      <c r="AL23" s="140">
        <f t="shared" si="4"/>
        <v>0</v>
      </c>
      <c r="AM23" s="140">
        <f t="shared" si="4"/>
        <v>0</v>
      </c>
      <c r="AN23" s="140"/>
      <c r="AO23" s="140">
        <f t="shared" si="1"/>
        <v>2311.4999999999995</v>
      </c>
      <c r="AP23" s="140">
        <f t="shared" si="3"/>
        <v>10676.099999999997</v>
      </c>
      <c r="AR23" s="143"/>
    </row>
    <row r="24" spans="1:44" s="142" customFormat="1" ht="15" customHeight="1">
      <c r="A24" s="138" t="s">
        <v>7</v>
      </c>
      <c r="B24" s="139">
        <f>32531.8-3772.4-400-431.4-3379.2</f>
        <v>24548.799999999996</v>
      </c>
      <c r="C24" s="139">
        <v>18011.100000000006</v>
      </c>
      <c r="D24" s="140"/>
      <c r="E24" s="140">
        <f>183.1+4.7+37.2</f>
        <v>225</v>
      </c>
      <c r="F24" s="140">
        <v>0</v>
      </c>
      <c r="G24" s="140"/>
      <c r="H24" s="140">
        <v>0</v>
      </c>
      <c r="I24" s="140">
        <v>0</v>
      </c>
      <c r="J24" s="140">
        <v>1.1</v>
      </c>
      <c r="K24" s="140">
        <v>222.7</v>
      </c>
      <c r="L24" s="140">
        <f>454.5+924.7+92.3</f>
        <v>1471.5</v>
      </c>
      <c r="M24" s="140">
        <v>0</v>
      </c>
      <c r="N24" s="140">
        <v>0</v>
      </c>
      <c r="O24" s="140">
        <v>4</v>
      </c>
      <c r="P24" s="140">
        <f>304.2+10179.7</f>
        <v>10483.900000000001</v>
      </c>
      <c r="Q24" s="140"/>
      <c r="R24" s="140"/>
      <c r="S24" s="140">
        <f>920.9+874</f>
        <v>1794.9</v>
      </c>
      <c r="T24" s="140"/>
      <c r="U24" s="140"/>
      <c r="V24" s="140">
        <v>33.9</v>
      </c>
      <c r="W24" s="140"/>
      <c r="X24" s="140">
        <v>4.7</v>
      </c>
      <c r="Y24" s="140">
        <v>51.8</v>
      </c>
      <c r="Z24" s="140">
        <f>8765.4+4749.4</f>
        <v>13514.8</v>
      </c>
      <c r="AA24" s="140"/>
      <c r="AB24" s="140"/>
      <c r="AC24" s="140">
        <f>2352.3+246.8</f>
        <v>2599.1000000000004</v>
      </c>
      <c r="AD24" s="140">
        <v>14.8</v>
      </c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>
        <f t="shared" si="1"/>
        <v>30422.2</v>
      </c>
      <c r="AP24" s="140">
        <f t="shared" si="3"/>
        <v>12137.7</v>
      </c>
      <c r="AR24" s="143"/>
    </row>
    <row r="25" spans="1:44" s="152" customFormat="1" ht="15" customHeight="1">
      <c r="A25" s="147" t="s">
        <v>39</v>
      </c>
      <c r="B25" s="148">
        <v>17137.9</v>
      </c>
      <c r="C25" s="148">
        <v>0</v>
      </c>
      <c r="D25" s="150"/>
      <c r="E25" s="150">
        <v>37.2</v>
      </c>
      <c r="F25" s="150">
        <v>0</v>
      </c>
      <c r="G25" s="150"/>
      <c r="H25" s="150">
        <v>0</v>
      </c>
      <c r="I25" s="150"/>
      <c r="J25" s="150"/>
      <c r="K25" s="150"/>
      <c r="L25" s="150">
        <v>924.6</v>
      </c>
      <c r="M25" s="150"/>
      <c r="N25" s="150">
        <v>0</v>
      </c>
      <c r="O25" s="150">
        <v>0</v>
      </c>
      <c r="P25" s="150">
        <v>10179.7</v>
      </c>
      <c r="Q25" s="150"/>
      <c r="R25" s="150"/>
      <c r="S25" s="150">
        <v>874</v>
      </c>
      <c r="T25" s="150"/>
      <c r="U25" s="150"/>
      <c r="V25" s="150">
        <v>33.9</v>
      </c>
      <c r="W25" s="150"/>
      <c r="X25" s="150"/>
      <c r="Y25" s="150"/>
      <c r="Z25" s="150">
        <v>4749.4</v>
      </c>
      <c r="AA25" s="150"/>
      <c r="AB25" s="150"/>
      <c r="AC25" s="150">
        <v>246.8</v>
      </c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49">
        <f t="shared" si="1"/>
        <v>17045.6</v>
      </c>
      <c r="AP25" s="149">
        <f t="shared" si="3"/>
        <v>92.30000000000291</v>
      </c>
      <c r="AQ25" s="151"/>
      <c r="AR25" s="143"/>
    </row>
    <row r="26" spans="1:44" s="142" customFormat="1" ht="15.75" hidden="1">
      <c r="A26" s="144" t="s">
        <v>5</v>
      </c>
      <c r="B26" s="139"/>
      <c r="C26" s="139">
        <v>0</v>
      </c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>
        <f t="shared" si="1"/>
        <v>0</v>
      </c>
      <c r="AP26" s="140">
        <f t="shared" si="3"/>
        <v>0</v>
      </c>
      <c r="AQ26" s="143"/>
      <c r="AR26" s="143"/>
    </row>
    <row r="27" spans="1:44" s="142" customFormat="1" ht="15.75" hidden="1">
      <c r="A27" s="144" t="s">
        <v>3</v>
      </c>
      <c r="B27" s="139"/>
      <c r="C27" s="139">
        <v>0</v>
      </c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>
        <f t="shared" si="1"/>
        <v>0</v>
      </c>
      <c r="AP27" s="140">
        <f t="shared" si="3"/>
        <v>0</v>
      </c>
      <c r="AR27" s="143"/>
    </row>
    <row r="28" spans="1:44" s="142" customFormat="1" ht="15.75" hidden="1">
      <c r="A28" s="144" t="s">
        <v>1</v>
      </c>
      <c r="B28" s="139"/>
      <c r="C28" s="139">
        <v>0</v>
      </c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>
        <f t="shared" si="1"/>
        <v>0</v>
      </c>
      <c r="AP28" s="140">
        <f t="shared" si="3"/>
        <v>0</v>
      </c>
      <c r="AR28" s="143"/>
    </row>
    <row r="29" spans="1:44" s="142" customFormat="1" ht="15.75" hidden="1">
      <c r="A29" s="144" t="s">
        <v>2</v>
      </c>
      <c r="B29" s="139"/>
      <c r="C29" s="139">
        <v>0</v>
      </c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>
        <f t="shared" si="1"/>
        <v>0</v>
      </c>
      <c r="AP29" s="140">
        <f t="shared" si="3"/>
        <v>0</v>
      </c>
      <c r="AR29" s="143"/>
    </row>
    <row r="30" spans="1:44" s="142" customFormat="1" ht="15.75">
      <c r="A30" s="144" t="s">
        <v>16</v>
      </c>
      <c r="B30" s="139">
        <f>90.8</f>
        <v>90.8</v>
      </c>
      <c r="C30" s="139">
        <v>90.89999999999999</v>
      </c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>
        <v>47.3</v>
      </c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>
        <f t="shared" si="1"/>
        <v>47.3</v>
      </c>
      <c r="AP30" s="140">
        <f t="shared" si="3"/>
        <v>134.39999999999998</v>
      </c>
      <c r="AR30" s="143"/>
    </row>
    <row r="31" spans="1:44" s="142" customFormat="1" ht="15.75" hidden="1">
      <c r="A31" s="144" t="s">
        <v>15</v>
      </c>
      <c r="B31" s="139"/>
      <c r="C31" s="139">
        <v>0</v>
      </c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>
        <f t="shared" si="1"/>
        <v>0</v>
      </c>
      <c r="AP31" s="140">
        <f t="shared" si="3"/>
        <v>0</v>
      </c>
      <c r="AR31" s="143"/>
    </row>
    <row r="32" spans="1:44" s="142" customFormat="1" ht="15.75">
      <c r="A32" s="144" t="s">
        <v>23</v>
      </c>
      <c r="B32" s="139">
        <f>B24-B30</f>
        <v>24457.999999999996</v>
      </c>
      <c r="C32" s="139">
        <v>17920.200000000004</v>
      </c>
      <c r="D32" s="140">
        <f aca="true" t="shared" si="5" ref="D32:AM32">D24-D26-D27-D28-D29-D30-D31</f>
        <v>0</v>
      </c>
      <c r="E32" s="140">
        <f t="shared" si="5"/>
        <v>225</v>
      </c>
      <c r="F32" s="140">
        <f t="shared" si="5"/>
        <v>0</v>
      </c>
      <c r="G32" s="140">
        <f t="shared" si="5"/>
        <v>0</v>
      </c>
      <c r="H32" s="140">
        <f>H24-H26-H27-H28-H29-H30-H31</f>
        <v>0</v>
      </c>
      <c r="I32" s="140">
        <f>I24-I26-I27-I28-I29-I30-I31</f>
        <v>0</v>
      </c>
      <c r="J32" s="140">
        <f>J24-J26-J27-J28-J29-J30-J31</f>
        <v>1.1</v>
      </c>
      <c r="K32" s="140">
        <f t="shared" si="5"/>
        <v>222.7</v>
      </c>
      <c r="L32" s="140">
        <f>L24-L26-L27-L28-L29-L30-L31</f>
        <v>1471.5</v>
      </c>
      <c r="M32" s="140">
        <f t="shared" si="5"/>
        <v>0</v>
      </c>
      <c r="N32" s="140">
        <f t="shared" si="5"/>
        <v>0</v>
      </c>
      <c r="O32" s="140">
        <f t="shared" si="5"/>
        <v>4</v>
      </c>
      <c r="P32" s="140">
        <f>P24-P26-P27-P28-P29-P30-P31</f>
        <v>10483.900000000001</v>
      </c>
      <c r="Q32" s="140">
        <f>Q24-Q26-Q27-Q28-Q29-Q30-Q31</f>
        <v>0</v>
      </c>
      <c r="R32" s="140">
        <f t="shared" si="5"/>
        <v>0</v>
      </c>
      <c r="S32" s="140">
        <f t="shared" si="5"/>
        <v>1794.9</v>
      </c>
      <c r="T32" s="140">
        <f t="shared" si="5"/>
        <v>0</v>
      </c>
      <c r="U32" s="140">
        <f t="shared" si="5"/>
        <v>0</v>
      </c>
      <c r="V32" s="140">
        <f t="shared" si="5"/>
        <v>33.9</v>
      </c>
      <c r="W32" s="140">
        <f>W24-W26-W27-W28-W29-W30-W31</f>
        <v>0</v>
      </c>
      <c r="X32" s="140">
        <f>X24-X26-X27-X28-X29-X30-X31</f>
        <v>4.7</v>
      </c>
      <c r="Y32" s="140">
        <f t="shared" si="5"/>
        <v>4.5</v>
      </c>
      <c r="Z32" s="140">
        <f t="shared" si="5"/>
        <v>13514.8</v>
      </c>
      <c r="AA32" s="140">
        <f t="shared" si="5"/>
        <v>0</v>
      </c>
      <c r="AB32" s="140">
        <f t="shared" si="5"/>
        <v>0</v>
      </c>
      <c r="AC32" s="140">
        <f t="shared" si="5"/>
        <v>2599.1000000000004</v>
      </c>
      <c r="AD32" s="140">
        <f>AD24-AD26-AD27-AD28-AD29-AD30-AD31</f>
        <v>14.8</v>
      </c>
      <c r="AE32" s="140">
        <f>AE24-AE26-AE27-AE28-AE29-AE30-AE31</f>
        <v>0</v>
      </c>
      <c r="AF32" s="140">
        <f t="shared" si="5"/>
        <v>0</v>
      </c>
      <c r="AG32" s="140">
        <f t="shared" si="5"/>
        <v>0</v>
      </c>
      <c r="AH32" s="140">
        <f t="shared" si="5"/>
        <v>0</v>
      </c>
      <c r="AI32" s="140">
        <f t="shared" si="5"/>
        <v>0</v>
      </c>
      <c r="AJ32" s="140">
        <f t="shared" si="5"/>
        <v>0</v>
      </c>
      <c r="AK32" s="140">
        <f t="shared" si="5"/>
        <v>0</v>
      </c>
      <c r="AL32" s="140">
        <f t="shared" si="5"/>
        <v>0</v>
      </c>
      <c r="AM32" s="140">
        <f t="shared" si="5"/>
        <v>0</v>
      </c>
      <c r="AN32" s="140"/>
      <c r="AO32" s="140">
        <f t="shared" si="1"/>
        <v>30374.899999999998</v>
      </c>
      <c r="AP32" s="140">
        <f>AP24-AP30</f>
        <v>12003.300000000001</v>
      </c>
      <c r="AR32" s="143"/>
    </row>
    <row r="33" spans="1:44" s="142" customFormat="1" ht="15" customHeight="1">
      <c r="A33" s="138" t="s">
        <v>8</v>
      </c>
      <c r="B33" s="139">
        <v>487.6</v>
      </c>
      <c r="C33" s="139">
        <v>300.2000000000007</v>
      </c>
      <c r="D33" s="140"/>
      <c r="E33" s="140"/>
      <c r="F33" s="140"/>
      <c r="G33" s="140"/>
      <c r="H33" s="140">
        <v>0</v>
      </c>
      <c r="I33" s="140"/>
      <c r="J33" s="140"/>
      <c r="K33" s="140"/>
      <c r="L33" s="140">
        <v>0</v>
      </c>
      <c r="M33" s="140"/>
      <c r="N33" s="140">
        <v>0</v>
      </c>
      <c r="O33" s="140">
        <v>45.9</v>
      </c>
      <c r="P33" s="140">
        <v>52.2</v>
      </c>
      <c r="Q33" s="140">
        <v>0.9</v>
      </c>
      <c r="R33" s="140">
        <v>4.7</v>
      </c>
      <c r="S33" s="140"/>
      <c r="T33" s="140"/>
      <c r="U33" s="140"/>
      <c r="V33" s="140"/>
      <c r="W33" s="140"/>
      <c r="X33" s="140">
        <v>0.3</v>
      </c>
      <c r="Y33" s="140">
        <v>2.4</v>
      </c>
      <c r="Z33" s="140">
        <v>182.4</v>
      </c>
      <c r="AA33" s="140"/>
      <c r="AB33" s="140"/>
      <c r="AC33" s="140"/>
      <c r="AD33" s="140"/>
      <c r="AE33" s="140">
        <v>123</v>
      </c>
      <c r="AF33" s="140"/>
      <c r="AG33" s="140"/>
      <c r="AH33" s="140"/>
      <c r="AI33" s="140"/>
      <c r="AJ33" s="140"/>
      <c r="AK33" s="140"/>
      <c r="AL33" s="140"/>
      <c r="AM33" s="140"/>
      <c r="AN33" s="140"/>
      <c r="AO33" s="140">
        <f t="shared" si="1"/>
        <v>411.8</v>
      </c>
      <c r="AP33" s="140">
        <f aca="true" t="shared" si="6" ref="AP33:AP38">B33+C33-AO33</f>
        <v>376.00000000000074</v>
      </c>
      <c r="AR33" s="143"/>
    </row>
    <row r="34" spans="1:44" s="142" customFormat="1" ht="15.75">
      <c r="A34" s="144" t="s">
        <v>5</v>
      </c>
      <c r="B34" s="139">
        <v>291.2</v>
      </c>
      <c r="C34" s="139">
        <v>89.99999999999994</v>
      </c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>
        <v>0</v>
      </c>
      <c r="O34" s="140">
        <v>45.9</v>
      </c>
      <c r="P34" s="140">
        <v>52.2</v>
      </c>
      <c r="Q34" s="140"/>
      <c r="R34" s="140"/>
      <c r="S34" s="140"/>
      <c r="T34" s="140"/>
      <c r="U34" s="140"/>
      <c r="V34" s="140"/>
      <c r="W34" s="140"/>
      <c r="X34" s="140"/>
      <c r="Y34" s="140"/>
      <c r="Z34" s="140">
        <v>180.8</v>
      </c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>
        <f t="shared" si="1"/>
        <v>278.9</v>
      </c>
      <c r="AP34" s="140">
        <f t="shared" si="6"/>
        <v>102.29999999999995</v>
      </c>
      <c r="AR34" s="143"/>
    </row>
    <row r="35" spans="1:44" s="142" customFormat="1" ht="15.75">
      <c r="A35" s="144" t="s">
        <v>1</v>
      </c>
      <c r="B35" s="139"/>
      <c r="C35" s="139">
        <v>2.5999999999999943</v>
      </c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>
        <f t="shared" si="1"/>
        <v>0</v>
      </c>
      <c r="AP35" s="140">
        <f t="shared" si="6"/>
        <v>2.5999999999999943</v>
      </c>
      <c r="AR35" s="143"/>
    </row>
    <row r="36" spans="1:44" s="142" customFormat="1" ht="15.75">
      <c r="A36" s="144" t="s">
        <v>2</v>
      </c>
      <c r="B36" s="153">
        <v>4.3</v>
      </c>
      <c r="C36" s="139">
        <v>69.10000000000001</v>
      </c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>
        <v>0</v>
      </c>
      <c r="O36" s="140"/>
      <c r="P36" s="140"/>
      <c r="Q36" s="140"/>
      <c r="R36" s="140">
        <v>0.5</v>
      </c>
      <c r="S36" s="140"/>
      <c r="T36" s="140"/>
      <c r="U36" s="140"/>
      <c r="V36" s="140"/>
      <c r="W36" s="140"/>
      <c r="X36" s="140"/>
      <c r="Y36" s="140"/>
      <c r="Z36" s="140">
        <v>0.8</v>
      </c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>
        <f t="shared" si="1"/>
        <v>1.3</v>
      </c>
      <c r="AP36" s="140">
        <f t="shared" si="6"/>
        <v>72.10000000000001</v>
      </c>
      <c r="AR36" s="143"/>
    </row>
    <row r="37" spans="1:44" s="142" customFormat="1" ht="15.75">
      <c r="A37" s="144" t="s">
        <v>16</v>
      </c>
      <c r="B37" s="139">
        <v>0</v>
      </c>
      <c r="C37" s="139">
        <v>0</v>
      </c>
      <c r="D37" s="140"/>
      <c r="E37" s="140"/>
      <c r="F37" s="140"/>
      <c r="G37" s="140"/>
      <c r="H37" s="140">
        <v>0</v>
      </c>
      <c r="I37" s="140"/>
      <c r="J37" s="140"/>
      <c r="K37" s="140"/>
      <c r="L37" s="140">
        <v>0</v>
      </c>
      <c r="M37" s="140"/>
      <c r="N37" s="140">
        <v>0</v>
      </c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>
        <f t="shared" si="1"/>
        <v>0</v>
      </c>
      <c r="AP37" s="140">
        <f t="shared" si="6"/>
        <v>0</v>
      </c>
      <c r="AR37" s="143"/>
    </row>
    <row r="38" spans="1:44" s="142" customFormat="1" ht="15.75" hidden="1">
      <c r="A38" s="144" t="s">
        <v>15</v>
      </c>
      <c r="B38" s="139"/>
      <c r="C38" s="139">
        <v>0</v>
      </c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>
        <f t="shared" si="1"/>
        <v>0</v>
      </c>
      <c r="AP38" s="140">
        <f t="shared" si="6"/>
        <v>0</v>
      </c>
      <c r="AR38" s="143"/>
    </row>
    <row r="39" spans="1:44" s="142" customFormat="1" ht="15.75">
      <c r="A39" s="144" t="s">
        <v>23</v>
      </c>
      <c r="B39" s="139">
        <f aca="true" t="shared" si="7" ref="B39:AM39">B33-B34-B36-B38-B37-B35</f>
        <v>192.10000000000002</v>
      </c>
      <c r="C39" s="139">
        <v>138.50000000000077</v>
      </c>
      <c r="D39" s="140">
        <f t="shared" si="7"/>
        <v>0</v>
      </c>
      <c r="E39" s="140">
        <f t="shared" si="7"/>
        <v>0</v>
      </c>
      <c r="F39" s="140">
        <f t="shared" si="7"/>
        <v>0</v>
      </c>
      <c r="G39" s="140">
        <f t="shared" si="7"/>
        <v>0</v>
      </c>
      <c r="H39" s="140">
        <f>H33-H34-H36-H38-H37-H35</f>
        <v>0</v>
      </c>
      <c r="I39" s="140">
        <f>I33-I34-I36-I38-I37-I35</f>
        <v>0</v>
      </c>
      <c r="J39" s="140">
        <f>J33-J34-J36-J38-J37-J35</f>
        <v>0</v>
      </c>
      <c r="K39" s="140">
        <f t="shared" si="7"/>
        <v>0</v>
      </c>
      <c r="L39" s="140">
        <f t="shared" si="7"/>
        <v>0</v>
      </c>
      <c r="M39" s="140">
        <f t="shared" si="7"/>
        <v>0</v>
      </c>
      <c r="N39" s="140">
        <f t="shared" si="7"/>
        <v>0</v>
      </c>
      <c r="O39" s="140">
        <f t="shared" si="7"/>
        <v>0</v>
      </c>
      <c r="P39" s="140">
        <f>P33-P34-P36-P38-P37-P35</f>
        <v>0</v>
      </c>
      <c r="Q39" s="140">
        <f>Q33-Q34-Q36-Q38-Q37-Q35</f>
        <v>0.9</v>
      </c>
      <c r="R39" s="140">
        <f t="shared" si="7"/>
        <v>4.2</v>
      </c>
      <c r="S39" s="140">
        <f t="shared" si="7"/>
        <v>0</v>
      </c>
      <c r="T39" s="140">
        <f t="shared" si="7"/>
        <v>0</v>
      </c>
      <c r="U39" s="140">
        <f t="shared" si="7"/>
        <v>0</v>
      </c>
      <c r="V39" s="140">
        <f t="shared" si="7"/>
        <v>0</v>
      </c>
      <c r="W39" s="140">
        <f>W33-W34-W36-W38-W37-W35</f>
        <v>0</v>
      </c>
      <c r="X39" s="140">
        <f>X33-X34-X36-X38-X37-X35</f>
        <v>0.3</v>
      </c>
      <c r="Y39" s="140">
        <f t="shared" si="7"/>
        <v>2.4</v>
      </c>
      <c r="Z39" s="140">
        <f t="shared" si="7"/>
        <v>0.7999999999999943</v>
      </c>
      <c r="AA39" s="140">
        <f t="shared" si="7"/>
        <v>0</v>
      </c>
      <c r="AB39" s="140">
        <f t="shared" si="7"/>
        <v>0</v>
      </c>
      <c r="AC39" s="140">
        <f t="shared" si="7"/>
        <v>0</v>
      </c>
      <c r="AD39" s="140">
        <f>AD33-AD34-AD36-AD38-AD37-AD35</f>
        <v>0</v>
      </c>
      <c r="AE39" s="140">
        <f>AE33-AE34-AE36-AE38-AE37-AE35</f>
        <v>123</v>
      </c>
      <c r="AF39" s="140">
        <f t="shared" si="7"/>
        <v>0</v>
      </c>
      <c r="AG39" s="140">
        <f t="shared" si="7"/>
        <v>0</v>
      </c>
      <c r="AH39" s="140">
        <f t="shared" si="7"/>
        <v>0</v>
      </c>
      <c r="AI39" s="140">
        <f t="shared" si="7"/>
        <v>0</v>
      </c>
      <c r="AJ39" s="140">
        <f t="shared" si="7"/>
        <v>0</v>
      </c>
      <c r="AK39" s="140">
        <f t="shared" si="7"/>
        <v>0</v>
      </c>
      <c r="AL39" s="140">
        <f t="shared" si="7"/>
        <v>0</v>
      </c>
      <c r="AM39" s="140">
        <f t="shared" si="7"/>
        <v>0</v>
      </c>
      <c r="AN39" s="140"/>
      <c r="AO39" s="140">
        <f t="shared" si="1"/>
        <v>131.6</v>
      </c>
      <c r="AP39" s="140">
        <f>AP33-AP34-AP36-AP38-AP35-AP37</f>
        <v>199.00000000000077</v>
      </c>
      <c r="AR39" s="143"/>
    </row>
    <row r="40" spans="1:44" s="142" customFormat="1" ht="15" customHeight="1">
      <c r="A40" s="138" t="s">
        <v>29</v>
      </c>
      <c r="B40" s="139">
        <v>1350</v>
      </c>
      <c r="C40" s="139">
        <v>307.60000000000014</v>
      </c>
      <c r="D40" s="140"/>
      <c r="E40" s="140"/>
      <c r="F40" s="140">
        <v>0</v>
      </c>
      <c r="G40" s="140"/>
      <c r="H40" s="140">
        <v>15.6</v>
      </c>
      <c r="I40" s="140"/>
      <c r="J40" s="140"/>
      <c r="K40" s="140"/>
      <c r="L40" s="140"/>
      <c r="M40" s="140"/>
      <c r="N40" s="140">
        <v>0</v>
      </c>
      <c r="O40" s="140"/>
      <c r="P40" s="140">
        <v>419</v>
      </c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>
        <v>721.3</v>
      </c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>
        <f t="shared" si="1"/>
        <v>1155.9</v>
      </c>
      <c r="AP40" s="140">
        <f aca="true" t="shared" si="8" ref="AP40:AP45">B40+C40-AO40</f>
        <v>501.70000000000005</v>
      </c>
      <c r="AR40" s="143"/>
    </row>
    <row r="41" spans="1:44" s="142" customFormat="1" ht="15.75">
      <c r="A41" s="144" t="s">
        <v>5</v>
      </c>
      <c r="B41" s="139">
        <v>1309.1</v>
      </c>
      <c r="C41" s="139">
        <v>100.09999999999991</v>
      </c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>
        <v>0</v>
      </c>
      <c r="O41" s="140"/>
      <c r="P41" s="140">
        <v>418.5</v>
      </c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>
        <v>708</v>
      </c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>
        <f t="shared" si="1"/>
        <v>1126.5</v>
      </c>
      <c r="AP41" s="140">
        <f t="shared" si="8"/>
        <v>282.6999999999998</v>
      </c>
      <c r="AQ41" s="143"/>
      <c r="AR41" s="143"/>
    </row>
    <row r="42" spans="1:44" s="142" customFormat="1" ht="15.75">
      <c r="A42" s="144" t="s">
        <v>3</v>
      </c>
      <c r="B42" s="139"/>
      <c r="C42" s="139">
        <v>0</v>
      </c>
      <c r="D42" s="140"/>
      <c r="E42" s="140"/>
      <c r="F42" s="140">
        <v>0</v>
      </c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>
        <f aca="true" t="shared" si="9" ref="AO42:AO59">SUM(D42:AM42)</f>
        <v>0</v>
      </c>
      <c r="AP42" s="140">
        <f t="shared" si="8"/>
        <v>0</v>
      </c>
      <c r="AR42" s="143"/>
    </row>
    <row r="43" spans="1:44" s="142" customFormat="1" ht="15.75">
      <c r="A43" s="144" t="s">
        <v>1</v>
      </c>
      <c r="B43" s="139">
        <v>0</v>
      </c>
      <c r="C43" s="139">
        <v>5.200000000000005</v>
      </c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>
        <v>0</v>
      </c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>
        <f t="shared" si="9"/>
        <v>0</v>
      </c>
      <c r="AP43" s="140">
        <f t="shared" si="8"/>
        <v>5.200000000000005</v>
      </c>
      <c r="AR43" s="143"/>
    </row>
    <row r="44" spans="1:44" s="142" customFormat="1" ht="15.75">
      <c r="A44" s="144" t="s">
        <v>2</v>
      </c>
      <c r="B44" s="139">
        <v>8.3</v>
      </c>
      <c r="C44" s="139">
        <v>160.70000000000005</v>
      </c>
      <c r="D44" s="140"/>
      <c r="E44" s="140"/>
      <c r="F44" s="140">
        <v>0</v>
      </c>
      <c r="G44" s="140"/>
      <c r="H44" s="140">
        <v>3</v>
      </c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>
        <f t="shared" si="9"/>
        <v>3</v>
      </c>
      <c r="AP44" s="140">
        <f t="shared" si="8"/>
        <v>166.00000000000006</v>
      </c>
      <c r="AR44" s="143"/>
    </row>
    <row r="45" spans="1:44" s="142" customFormat="1" ht="15.75" hidden="1">
      <c r="A45" s="144" t="s">
        <v>15</v>
      </c>
      <c r="B45" s="139"/>
      <c r="C45" s="139">
        <v>0</v>
      </c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>
        <f t="shared" si="9"/>
        <v>0</v>
      </c>
      <c r="AP45" s="140">
        <f t="shared" si="8"/>
        <v>0</v>
      </c>
      <c r="AR45" s="143"/>
    </row>
    <row r="46" spans="1:44" s="142" customFormat="1" ht="15.75">
      <c r="A46" s="144" t="s">
        <v>23</v>
      </c>
      <c r="B46" s="139">
        <f aca="true" t="shared" si="10" ref="B46:AM46">B40-B41-B42-B43-B44-B45</f>
        <v>32.600000000000094</v>
      </c>
      <c r="C46" s="139">
        <v>41.600000000000165</v>
      </c>
      <c r="D46" s="140">
        <f t="shared" si="10"/>
        <v>0</v>
      </c>
      <c r="E46" s="140">
        <f t="shared" si="10"/>
        <v>0</v>
      </c>
      <c r="F46" s="140">
        <v>0</v>
      </c>
      <c r="G46" s="140">
        <f t="shared" si="10"/>
        <v>0</v>
      </c>
      <c r="H46" s="140">
        <f>H40-H41-H42-H43-H44-H45</f>
        <v>12.6</v>
      </c>
      <c r="I46" s="140">
        <f>I40-I41-I42-I43-I44-I45</f>
        <v>0</v>
      </c>
      <c r="J46" s="140">
        <f>J40-J41-J42-J43-J44-J45</f>
        <v>0</v>
      </c>
      <c r="K46" s="140">
        <f t="shared" si="10"/>
        <v>0</v>
      </c>
      <c r="L46" s="140">
        <f t="shared" si="10"/>
        <v>0</v>
      </c>
      <c r="M46" s="140">
        <f t="shared" si="10"/>
        <v>0</v>
      </c>
      <c r="N46" s="140">
        <f t="shared" si="10"/>
        <v>0</v>
      </c>
      <c r="O46" s="140">
        <f t="shared" si="10"/>
        <v>0</v>
      </c>
      <c r="P46" s="140">
        <f>P40-P41-P42-P43-P44-P45</f>
        <v>0.5</v>
      </c>
      <c r="Q46" s="140">
        <f>Q40-Q41-Q42-Q43-Q44-Q45</f>
        <v>0</v>
      </c>
      <c r="R46" s="140">
        <f t="shared" si="10"/>
        <v>0</v>
      </c>
      <c r="S46" s="140">
        <f t="shared" si="10"/>
        <v>0</v>
      </c>
      <c r="T46" s="140">
        <f t="shared" si="10"/>
        <v>0</v>
      </c>
      <c r="U46" s="140">
        <f t="shared" si="10"/>
        <v>0</v>
      </c>
      <c r="V46" s="140">
        <f t="shared" si="10"/>
        <v>0</v>
      </c>
      <c r="W46" s="140">
        <f>W40-W41-W42-W43-W44-W45</f>
        <v>0</v>
      </c>
      <c r="X46" s="140">
        <f>X40-X41-X42-X43-X44-X45</f>
        <v>0</v>
      </c>
      <c r="Y46" s="140">
        <f t="shared" si="10"/>
        <v>0</v>
      </c>
      <c r="Z46" s="140">
        <f t="shared" si="10"/>
        <v>0</v>
      </c>
      <c r="AA46" s="140">
        <f t="shared" si="10"/>
        <v>0</v>
      </c>
      <c r="AB46" s="140">
        <f t="shared" si="10"/>
        <v>0</v>
      </c>
      <c r="AC46" s="140">
        <f t="shared" si="10"/>
        <v>13.299999999999955</v>
      </c>
      <c r="AD46" s="140">
        <f>AD40-AD41-AD42-AD43-AD44-AD45</f>
        <v>0</v>
      </c>
      <c r="AE46" s="140">
        <f>AE40-AE41-AE42-AE43-AE44-AE45</f>
        <v>0</v>
      </c>
      <c r="AF46" s="140">
        <f t="shared" si="10"/>
        <v>0</v>
      </c>
      <c r="AG46" s="140">
        <f t="shared" si="10"/>
        <v>0</v>
      </c>
      <c r="AH46" s="140">
        <f t="shared" si="10"/>
        <v>0</v>
      </c>
      <c r="AI46" s="140">
        <f t="shared" si="10"/>
        <v>0</v>
      </c>
      <c r="AJ46" s="140">
        <f t="shared" si="10"/>
        <v>0</v>
      </c>
      <c r="AK46" s="140">
        <f t="shared" si="10"/>
        <v>0</v>
      </c>
      <c r="AL46" s="140">
        <f t="shared" si="10"/>
        <v>0</v>
      </c>
      <c r="AM46" s="140">
        <f t="shared" si="10"/>
        <v>0</v>
      </c>
      <c r="AN46" s="140"/>
      <c r="AO46" s="140">
        <f t="shared" si="9"/>
        <v>26.399999999999956</v>
      </c>
      <c r="AP46" s="140">
        <f>AP40-AP41-AP42-AP43-AP44-AP45</f>
        <v>47.80000000000015</v>
      </c>
      <c r="AR46" s="143"/>
    </row>
    <row r="47" spans="1:44" s="142" customFormat="1" ht="17.25" customHeight="1">
      <c r="A47" s="138" t="s">
        <v>43</v>
      </c>
      <c r="B47" s="145">
        <v>10010.5</v>
      </c>
      <c r="C47" s="139">
        <v>4448.900000000001</v>
      </c>
      <c r="D47" s="140"/>
      <c r="E47" s="154">
        <v>168.9</v>
      </c>
      <c r="F47" s="154">
        <v>0</v>
      </c>
      <c r="G47" s="154">
        <v>0</v>
      </c>
      <c r="H47" s="154">
        <v>2012.4</v>
      </c>
      <c r="I47" s="154">
        <v>101.5</v>
      </c>
      <c r="J47" s="154">
        <v>0</v>
      </c>
      <c r="K47" s="154">
        <v>4</v>
      </c>
      <c r="L47" s="154">
        <v>60</v>
      </c>
      <c r="M47" s="154">
        <v>0</v>
      </c>
      <c r="N47" s="154">
        <v>0</v>
      </c>
      <c r="O47" s="154">
        <v>0</v>
      </c>
      <c r="P47" s="154">
        <v>215.1</v>
      </c>
      <c r="Q47" s="154">
        <v>41.8</v>
      </c>
      <c r="R47" s="154">
        <v>48</v>
      </c>
      <c r="S47" s="154">
        <v>5.7</v>
      </c>
      <c r="T47" s="154"/>
      <c r="U47" s="154"/>
      <c r="V47" s="154">
        <v>1831.2</v>
      </c>
      <c r="W47" s="154"/>
      <c r="X47" s="154">
        <v>541.9</v>
      </c>
      <c r="Y47" s="154">
        <v>2009.6</v>
      </c>
      <c r="Z47" s="154">
        <v>34</v>
      </c>
      <c r="AA47" s="154"/>
      <c r="AB47" s="154"/>
      <c r="AC47" s="154">
        <v>4</v>
      </c>
      <c r="AD47" s="154">
        <v>34.5</v>
      </c>
      <c r="AE47" s="154">
        <v>81.4</v>
      </c>
      <c r="AF47" s="154"/>
      <c r="AG47" s="154"/>
      <c r="AH47" s="154"/>
      <c r="AI47" s="154"/>
      <c r="AJ47" s="154"/>
      <c r="AK47" s="154"/>
      <c r="AL47" s="154"/>
      <c r="AM47" s="154"/>
      <c r="AN47" s="154"/>
      <c r="AO47" s="140">
        <f t="shared" si="9"/>
        <v>7194</v>
      </c>
      <c r="AP47" s="140">
        <f>B47+C47-AO47</f>
        <v>7265.4000000000015</v>
      </c>
      <c r="AR47" s="143"/>
    </row>
    <row r="48" spans="1:44" s="142" customFormat="1" ht="15.75">
      <c r="A48" s="144" t="s">
        <v>5</v>
      </c>
      <c r="B48" s="139">
        <v>54.3</v>
      </c>
      <c r="C48" s="139">
        <v>104.30000000000004</v>
      </c>
      <c r="D48" s="140"/>
      <c r="E48" s="154"/>
      <c r="F48" s="154"/>
      <c r="G48" s="154"/>
      <c r="H48" s="154">
        <v>0</v>
      </c>
      <c r="I48" s="154"/>
      <c r="J48" s="154"/>
      <c r="K48" s="154"/>
      <c r="L48" s="154"/>
      <c r="M48" s="154"/>
      <c r="N48" s="154"/>
      <c r="O48" s="154"/>
      <c r="P48" s="154">
        <v>28.9</v>
      </c>
      <c r="Q48" s="154"/>
      <c r="R48" s="154"/>
      <c r="S48" s="154"/>
      <c r="T48" s="154"/>
      <c r="U48" s="154"/>
      <c r="V48" s="154"/>
      <c r="W48" s="154"/>
      <c r="X48" s="154"/>
      <c r="Y48" s="154"/>
      <c r="Z48" s="154">
        <v>1.8</v>
      </c>
      <c r="AA48" s="154"/>
      <c r="AB48" s="154"/>
      <c r="AC48" s="154"/>
      <c r="AD48" s="154">
        <v>28.7</v>
      </c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40">
        <f t="shared" si="9"/>
        <v>59.4</v>
      </c>
      <c r="AP48" s="140">
        <f>B48+C48-AO48</f>
        <v>99.20000000000002</v>
      </c>
      <c r="AR48" s="143"/>
    </row>
    <row r="49" spans="1:44" s="142" customFormat="1" ht="15.75">
      <c r="A49" s="144" t="s">
        <v>16</v>
      </c>
      <c r="B49" s="139">
        <f>9284.9</f>
        <v>9284.9</v>
      </c>
      <c r="C49" s="139">
        <v>3060.5000000000027</v>
      </c>
      <c r="D49" s="140"/>
      <c r="E49" s="140">
        <v>131.7</v>
      </c>
      <c r="F49" s="140">
        <v>0</v>
      </c>
      <c r="G49" s="140">
        <v>0</v>
      </c>
      <c r="H49" s="140">
        <v>1979</v>
      </c>
      <c r="I49" s="140">
        <v>72</v>
      </c>
      <c r="J49" s="140">
        <v>0</v>
      </c>
      <c r="K49" s="140">
        <v>4</v>
      </c>
      <c r="L49" s="140">
        <v>60</v>
      </c>
      <c r="M49" s="140">
        <v>0</v>
      </c>
      <c r="N49" s="140">
        <v>0</v>
      </c>
      <c r="O49" s="140">
        <v>0</v>
      </c>
      <c r="P49" s="140">
        <f>32.8+136.3</f>
        <v>169.10000000000002</v>
      </c>
      <c r="Q49" s="140">
        <v>41.8</v>
      </c>
      <c r="R49" s="140">
        <v>37.1</v>
      </c>
      <c r="S49" s="140">
        <v>5.7</v>
      </c>
      <c r="T49" s="140"/>
      <c r="U49" s="140"/>
      <c r="V49" s="140">
        <v>1831.2</v>
      </c>
      <c r="W49" s="140"/>
      <c r="X49" s="140">
        <v>2</v>
      </c>
      <c r="Y49" s="140">
        <v>1935</v>
      </c>
      <c r="Z49" s="140">
        <v>15.5</v>
      </c>
      <c r="AA49" s="140"/>
      <c r="AB49" s="140"/>
      <c r="AC49" s="140">
        <v>4</v>
      </c>
      <c r="AD49" s="140">
        <v>5.8</v>
      </c>
      <c r="AE49" s="140">
        <v>81.4</v>
      </c>
      <c r="AF49" s="140"/>
      <c r="AG49" s="140"/>
      <c r="AH49" s="140"/>
      <c r="AI49" s="140"/>
      <c r="AJ49" s="140"/>
      <c r="AK49" s="140"/>
      <c r="AL49" s="140"/>
      <c r="AM49" s="140"/>
      <c r="AN49" s="140"/>
      <c r="AO49" s="140">
        <f t="shared" si="9"/>
        <v>6375.299999999999</v>
      </c>
      <c r="AP49" s="140">
        <f>B49+C49-AO49</f>
        <v>5970.100000000002</v>
      </c>
      <c r="AR49" s="143"/>
    </row>
    <row r="50" spans="1:44" s="142" customFormat="1" ht="30" hidden="1">
      <c r="A50" s="155" t="s">
        <v>34</v>
      </c>
      <c r="B50" s="139"/>
      <c r="C50" s="139">
        <v>0</v>
      </c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>
        <f t="shared" si="9"/>
        <v>0</v>
      </c>
      <c r="AP50" s="140">
        <f>B50+C50-AO50</f>
        <v>0</v>
      </c>
      <c r="AR50" s="143"/>
    </row>
    <row r="51" spans="1:44" s="142" customFormat="1" ht="15.75">
      <c r="A51" s="156" t="s">
        <v>23</v>
      </c>
      <c r="B51" s="139">
        <f aca="true" t="shared" si="11" ref="B51:AM51">B47-B48-B49</f>
        <v>671.3000000000011</v>
      </c>
      <c r="C51" s="139">
        <v>1284.0999999999979</v>
      </c>
      <c r="D51" s="140">
        <f t="shared" si="11"/>
        <v>0</v>
      </c>
      <c r="E51" s="140">
        <f t="shared" si="11"/>
        <v>37.20000000000002</v>
      </c>
      <c r="F51" s="140">
        <f t="shared" si="11"/>
        <v>0</v>
      </c>
      <c r="G51" s="140">
        <f t="shared" si="11"/>
        <v>0</v>
      </c>
      <c r="H51" s="140">
        <f>H47-H48-H49</f>
        <v>33.40000000000009</v>
      </c>
      <c r="I51" s="140">
        <f>I47-I48-I49</f>
        <v>29.5</v>
      </c>
      <c r="J51" s="140">
        <f>J47-J48-J49</f>
        <v>0</v>
      </c>
      <c r="K51" s="140">
        <f t="shared" si="11"/>
        <v>0</v>
      </c>
      <c r="L51" s="140">
        <f t="shared" si="11"/>
        <v>0</v>
      </c>
      <c r="M51" s="140">
        <f t="shared" si="11"/>
        <v>0</v>
      </c>
      <c r="N51" s="140">
        <f t="shared" si="11"/>
        <v>0</v>
      </c>
      <c r="O51" s="140">
        <f t="shared" si="11"/>
        <v>0</v>
      </c>
      <c r="P51" s="140">
        <f>P47-P48-P49</f>
        <v>17.099999999999966</v>
      </c>
      <c r="Q51" s="140">
        <f>Q47-Q48-Q49</f>
        <v>0</v>
      </c>
      <c r="R51" s="140">
        <f t="shared" si="11"/>
        <v>10.899999999999999</v>
      </c>
      <c r="S51" s="140">
        <f t="shared" si="11"/>
        <v>0</v>
      </c>
      <c r="T51" s="140">
        <f t="shared" si="11"/>
        <v>0</v>
      </c>
      <c r="U51" s="140">
        <f t="shared" si="11"/>
        <v>0</v>
      </c>
      <c r="V51" s="140">
        <f t="shared" si="11"/>
        <v>0</v>
      </c>
      <c r="W51" s="140">
        <f>W47-W48-W49</f>
        <v>0</v>
      </c>
      <c r="X51" s="140">
        <f>X47-X48-X49</f>
        <v>539.9</v>
      </c>
      <c r="Y51" s="140">
        <f t="shared" si="11"/>
        <v>74.59999999999991</v>
      </c>
      <c r="Z51" s="140">
        <f t="shared" si="11"/>
        <v>16.700000000000003</v>
      </c>
      <c r="AA51" s="140">
        <f t="shared" si="11"/>
        <v>0</v>
      </c>
      <c r="AB51" s="140">
        <f t="shared" si="11"/>
        <v>0</v>
      </c>
      <c r="AC51" s="140">
        <f t="shared" si="11"/>
        <v>0</v>
      </c>
      <c r="AD51" s="140">
        <f>AD47-AD48-AD49</f>
        <v>0</v>
      </c>
      <c r="AE51" s="140">
        <f>AE47-AE48-AE49</f>
        <v>0</v>
      </c>
      <c r="AF51" s="140">
        <f t="shared" si="11"/>
        <v>0</v>
      </c>
      <c r="AG51" s="140">
        <f t="shared" si="11"/>
        <v>0</v>
      </c>
      <c r="AH51" s="140">
        <f t="shared" si="11"/>
        <v>0</v>
      </c>
      <c r="AI51" s="140">
        <f t="shared" si="11"/>
        <v>0</v>
      </c>
      <c r="AJ51" s="140">
        <f t="shared" si="11"/>
        <v>0</v>
      </c>
      <c r="AK51" s="140">
        <f t="shared" si="11"/>
        <v>0</v>
      </c>
      <c r="AL51" s="140">
        <f t="shared" si="11"/>
        <v>0</v>
      </c>
      <c r="AM51" s="140">
        <f t="shared" si="11"/>
        <v>0</v>
      </c>
      <c r="AN51" s="140"/>
      <c r="AO51" s="140">
        <f t="shared" si="9"/>
        <v>759.3</v>
      </c>
      <c r="AP51" s="140">
        <f>AP47-AP49-AP48</f>
        <v>1196.0999999999992</v>
      </c>
      <c r="AR51" s="143"/>
    </row>
    <row r="52" spans="1:44" s="142" customFormat="1" ht="15" customHeight="1">
      <c r="A52" s="138" t="s">
        <v>0</v>
      </c>
      <c r="B52" s="139">
        <f>9156.4+304.2-48-430+6237.2</f>
        <v>15219.8</v>
      </c>
      <c r="C52" s="139">
        <v>2698.4999999999964</v>
      </c>
      <c r="D52" s="140"/>
      <c r="E52" s="140">
        <v>1881.1</v>
      </c>
      <c r="F52" s="140">
        <v>0</v>
      </c>
      <c r="G52" s="140">
        <v>0</v>
      </c>
      <c r="H52" s="140">
        <v>370.4</v>
      </c>
      <c r="I52" s="140">
        <v>1.1</v>
      </c>
      <c r="J52" s="140">
        <v>1009.2</v>
      </c>
      <c r="K52" s="140">
        <v>390.7</v>
      </c>
      <c r="L52" s="140">
        <v>32.2</v>
      </c>
      <c r="M52" s="140">
        <v>0</v>
      </c>
      <c r="N52" s="140">
        <v>0</v>
      </c>
      <c r="O52" s="140">
        <v>617.8</v>
      </c>
      <c r="P52" s="140">
        <v>130.2</v>
      </c>
      <c r="Q52" s="140">
        <v>1118.7</v>
      </c>
      <c r="R52" s="140"/>
      <c r="S52" s="140">
        <v>594.6</v>
      </c>
      <c r="T52" s="140"/>
      <c r="U52" s="140"/>
      <c r="V52" s="140">
        <v>3.2</v>
      </c>
      <c r="W52" s="140"/>
      <c r="X52" s="140"/>
      <c r="Y52" s="140">
        <v>899</v>
      </c>
      <c r="Z52" s="140">
        <v>638.4</v>
      </c>
      <c r="AA52" s="140"/>
      <c r="AB52" s="140"/>
      <c r="AC52" s="140">
        <v>352.1</v>
      </c>
      <c r="AD52" s="140">
        <v>18.6</v>
      </c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>
        <f t="shared" si="9"/>
        <v>8057.3</v>
      </c>
      <c r="AP52" s="140">
        <f aca="true" t="shared" si="12" ref="AP52:AP59">B52+C52-AO52</f>
        <v>9860.999999999996</v>
      </c>
      <c r="AR52" s="143"/>
    </row>
    <row r="53" spans="1:44" s="142" customFormat="1" ht="15" customHeight="1">
      <c r="A53" s="144" t="s">
        <v>2</v>
      </c>
      <c r="B53" s="139">
        <f>2488.3-457.8</f>
        <v>2030.5000000000002</v>
      </c>
      <c r="C53" s="139">
        <v>99.29999999999939</v>
      </c>
      <c r="D53" s="140"/>
      <c r="E53" s="140">
        <v>659.5</v>
      </c>
      <c r="F53" s="140">
        <v>0</v>
      </c>
      <c r="G53" s="140">
        <v>0</v>
      </c>
      <c r="H53" s="140">
        <v>47.8</v>
      </c>
      <c r="I53" s="140">
        <v>1.1</v>
      </c>
      <c r="J53" s="140">
        <v>0</v>
      </c>
      <c r="K53" s="140">
        <v>7.7</v>
      </c>
      <c r="L53" s="140">
        <v>0</v>
      </c>
      <c r="M53" s="140">
        <v>0</v>
      </c>
      <c r="N53" s="140">
        <v>0</v>
      </c>
      <c r="O53" s="140">
        <v>40</v>
      </c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>
        <f t="shared" si="9"/>
        <v>756.1</v>
      </c>
      <c r="AP53" s="140">
        <f t="shared" si="12"/>
        <v>1373.6999999999998</v>
      </c>
      <c r="AR53" s="143"/>
    </row>
    <row r="54" spans="1:44" s="142" customFormat="1" ht="15" customHeight="1">
      <c r="A54" s="138" t="s">
        <v>9</v>
      </c>
      <c r="B54" s="153">
        <v>2385.4</v>
      </c>
      <c r="C54" s="139">
        <v>1099.8000000000002</v>
      </c>
      <c r="D54" s="140"/>
      <c r="E54" s="140">
        <v>0</v>
      </c>
      <c r="F54" s="140">
        <v>0</v>
      </c>
      <c r="G54" s="140">
        <v>0</v>
      </c>
      <c r="H54" s="140">
        <v>203.7</v>
      </c>
      <c r="I54" s="140">
        <v>87.2</v>
      </c>
      <c r="J54" s="140">
        <v>0</v>
      </c>
      <c r="K54" s="140">
        <v>0</v>
      </c>
      <c r="L54" s="140">
        <v>97.2</v>
      </c>
      <c r="M54" s="140">
        <v>0</v>
      </c>
      <c r="N54" s="140">
        <v>0</v>
      </c>
      <c r="O54" s="140">
        <v>107.5</v>
      </c>
      <c r="P54" s="140">
        <v>304.4</v>
      </c>
      <c r="Q54" s="140">
        <v>89.8</v>
      </c>
      <c r="R54" s="140"/>
      <c r="S54" s="140">
        <v>144.4</v>
      </c>
      <c r="T54" s="140"/>
      <c r="U54" s="140"/>
      <c r="V54" s="140"/>
      <c r="W54" s="140"/>
      <c r="X54" s="140">
        <v>105.7</v>
      </c>
      <c r="Y54" s="140">
        <v>5.6</v>
      </c>
      <c r="Z54" s="140"/>
      <c r="AA54" s="140"/>
      <c r="AB54" s="140"/>
      <c r="AC54" s="140">
        <v>581.7</v>
      </c>
      <c r="AD54" s="140">
        <v>162</v>
      </c>
      <c r="AE54" s="140">
        <v>7.1</v>
      </c>
      <c r="AF54" s="140">
        <v>-0.1</v>
      </c>
      <c r="AG54" s="140"/>
      <c r="AH54" s="140"/>
      <c r="AI54" s="140"/>
      <c r="AJ54" s="140"/>
      <c r="AK54" s="140"/>
      <c r="AL54" s="140"/>
      <c r="AM54" s="140"/>
      <c r="AN54" s="140"/>
      <c r="AO54" s="140">
        <f t="shared" si="9"/>
        <v>1896.2</v>
      </c>
      <c r="AP54" s="140">
        <f t="shared" si="12"/>
        <v>1589.0000000000002</v>
      </c>
      <c r="AQ54" s="143"/>
      <c r="AR54" s="143"/>
    </row>
    <row r="55" spans="1:44" s="142" customFormat="1" ht="15.75">
      <c r="A55" s="144" t="s">
        <v>5</v>
      </c>
      <c r="B55" s="139">
        <v>1249</v>
      </c>
      <c r="C55" s="139">
        <v>174.49999999999977</v>
      </c>
      <c r="D55" s="140"/>
      <c r="E55" s="140"/>
      <c r="F55" s="140">
        <v>0</v>
      </c>
      <c r="G55" s="140">
        <v>0</v>
      </c>
      <c r="H55" s="140">
        <v>17.9</v>
      </c>
      <c r="I55" s="140">
        <v>0</v>
      </c>
      <c r="J55" s="140">
        <v>0</v>
      </c>
      <c r="K55" s="140">
        <v>0</v>
      </c>
      <c r="L55" s="140">
        <v>0</v>
      </c>
      <c r="M55" s="140">
        <v>0</v>
      </c>
      <c r="N55" s="140">
        <v>0</v>
      </c>
      <c r="O55" s="140">
        <v>81.8</v>
      </c>
      <c r="P55" s="140">
        <v>304.4</v>
      </c>
      <c r="Q55" s="140">
        <v>80.3</v>
      </c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>
        <v>581.7</v>
      </c>
      <c r="AD55" s="140">
        <v>14.2</v>
      </c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>
        <f t="shared" si="9"/>
        <v>1080.3</v>
      </c>
      <c r="AP55" s="140">
        <f t="shared" si="12"/>
        <v>343.1999999999998</v>
      </c>
      <c r="AQ55" s="143"/>
      <c r="AR55" s="143"/>
    </row>
    <row r="56" spans="1:44" s="142" customFormat="1" ht="15" customHeight="1">
      <c r="A56" s="144" t="s">
        <v>1</v>
      </c>
      <c r="B56" s="139"/>
      <c r="C56" s="139">
        <v>0</v>
      </c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>
        <f t="shared" si="9"/>
        <v>0</v>
      </c>
      <c r="AP56" s="140">
        <f t="shared" si="12"/>
        <v>0</v>
      </c>
      <c r="AQ56" s="143"/>
      <c r="AR56" s="143"/>
    </row>
    <row r="57" spans="1:44" s="142" customFormat="1" ht="15.75">
      <c r="A57" s="144" t="s">
        <v>2</v>
      </c>
      <c r="B57" s="145">
        <v>18.4</v>
      </c>
      <c r="C57" s="139">
        <v>189.89999999999992</v>
      </c>
      <c r="D57" s="140"/>
      <c r="E57" s="140"/>
      <c r="F57" s="140"/>
      <c r="G57" s="140"/>
      <c r="H57" s="140"/>
      <c r="I57" s="140"/>
      <c r="J57" s="140"/>
      <c r="K57" s="140"/>
      <c r="L57" s="140">
        <v>8.2</v>
      </c>
      <c r="M57" s="140"/>
      <c r="N57" s="140"/>
      <c r="O57" s="140"/>
      <c r="P57" s="140"/>
      <c r="Q57" s="140">
        <v>0.2</v>
      </c>
      <c r="R57" s="140"/>
      <c r="S57" s="140"/>
      <c r="T57" s="140"/>
      <c r="U57" s="140"/>
      <c r="V57" s="140"/>
      <c r="W57" s="140"/>
      <c r="X57" s="140"/>
      <c r="Y57" s="140">
        <v>4.2</v>
      </c>
      <c r="Z57" s="140"/>
      <c r="AA57" s="140"/>
      <c r="AB57" s="140"/>
      <c r="AC57" s="140"/>
      <c r="AD57" s="140"/>
      <c r="AE57" s="140">
        <v>0.1</v>
      </c>
      <c r="AF57" s="140"/>
      <c r="AG57" s="140"/>
      <c r="AH57" s="140"/>
      <c r="AI57" s="140"/>
      <c r="AJ57" s="140"/>
      <c r="AK57" s="140"/>
      <c r="AL57" s="140"/>
      <c r="AM57" s="140"/>
      <c r="AN57" s="140"/>
      <c r="AO57" s="140">
        <f t="shared" si="9"/>
        <v>12.699999999999998</v>
      </c>
      <c r="AP57" s="140">
        <f t="shared" si="12"/>
        <v>195.59999999999994</v>
      </c>
      <c r="AR57" s="143"/>
    </row>
    <row r="58" spans="1:44" s="142" customFormat="1" ht="15.75">
      <c r="A58" s="144" t="s">
        <v>16</v>
      </c>
      <c r="B58" s="145"/>
      <c r="C58" s="139">
        <v>19.799999999999997</v>
      </c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>
        <f t="shared" si="9"/>
        <v>0</v>
      </c>
      <c r="AP58" s="140">
        <f t="shared" si="12"/>
        <v>19.799999999999997</v>
      </c>
      <c r="AR58" s="143"/>
    </row>
    <row r="59" spans="1:44" s="142" customFormat="1" ht="15.75" hidden="1">
      <c r="A59" s="144" t="s">
        <v>15</v>
      </c>
      <c r="B59" s="139"/>
      <c r="C59" s="139">
        <v>0</v>
      </c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>
        <f t="shared" si="9"/>
        <v>0</v>
      </c>
      <c r="AP59" s="140">
        <f t="shared" si="12"/>
        <v>0</v>
      </c>
      <c r="AR59" s="143"/>
    </row>
    <row r="60" spans="1:44" s="142" customFormat="1" ht="15.75">
      <c r="A60" s="144" t="s">
        <v>23</v>
      </c>
      <c r="B60" s="139">
        <f>B54-B55-B57-B59-B56-B58</f>
        <v>1118</v>
      </c>
      <c r="C60" s="139">
        <v>715.6000000000006</v>
      </c>
      <c r="D60" s="140">
        <f aca="true" t="shared" si="13" ref="D60:AM60">D54-D55-D57-D59-D56-D58</f>
        <v>0</v>
      </c>
      <c r="E60" s="140">
        <f t="shared" si="13"/>
        <v>0</v>
      </c>
      <c r="F60" s="140">
        <f t="shared" si="13"/>
        <v>0</v>
      </c>
      <c r="G60" s="140">
        <f t="shared" si="13"/>
        <v>0</v>
      </c>
      <c r="H60" s="140">
        <f t="shared" si="13"/>
        <v>185.79999999999998</v>
      </c>
      <c r="I60" s="140">
        <f t="shared" si="13"/>
        <v>87.2</v>
      </c>
      <c r="J60" s="140">
        <f t="shared" si="13"/>
        <v>0</v>
      </c>
      <c r="K60" s="140">
        <f t="shared" si="13"/>
        <v>0</v>
      </c>
      <c r="L60" s="140">
        <f t="shared" si="13"/>
        <v>89</v>
      </c>
      <c r="M60" s="140">
        <f t="shared" si="13"/>
        <v>0</v>
      </c>
      <c r="N60" s="140">
        <f t="shared" si="13"/>
        <v>0</v>
      </c>
      <c r="O60" s="140">
        <f t="shared" si="13"/>
        <v>25.700000000000003</v>
      </c>
      <c r="P60" s="140">
        <f t="shared" si="13"/>
        <v>0</v>
      </c>
      <c r="Q60" s="140">
        <f t="shared" si="13"/>
        <v>9.3</v>
      </c>
      <c r="R60" s="140">
        <f t="shared" si="13"/>
        <v>0</v>
      </c>
      <c r="S60" s="140">
        <f t="shared" si="13"/>
        <v>144.4</v>
      </c>
      <c r="T60" s="140">
        <f t="shared" si="13"/>
        <v>0</v>
      </c>
      <c r="U60" s="140">
        <f t="shared" si="13"/>
        <v>0</v>
      </c>
      <c r="V60" s="140">
        <f t="shared" si="13"/>
        <v>0</v>
      </c>
      <c r="W60" s="140">
        <f t="shared" si="13"/>
        <v>0</v>
      </c>
      <c r="X60" s="140">
        <f t="shared" si="13"/>
        <v>105.7</v>
      </c>
      <c r="Y60" s="140">
        <f t="shared" si="13"/>
        <v>1.3999999999999995</v>
      </c>
      <c r="Z60" s="140">
        <f t="shared" si="13"/>
        <v>0</v>
      </c>
      <c r="AA60" s="140">
        <f t="shared" si="13"/>
        <v>0</v>
      </c>
      <c r="AB60" s="140">
        <f t="shared" si="13"/>
        <v>0</v>
      </c>
      <c r="AC60" s="140">
        <f t="shared" si="13"/>
        <v>0</v>
      </c>
      <c r="AD60" s="140">
        <f t="shared" si="13"/>
        <v>147.8</v>
      </c>
      <c r="AE60" s="140">
        <f t="shared" si="13"/>
        <v>7</v>
      </c>
      <c r="AF60" s="140">
        <f t="shared" si="13"/>
        <v>-0.1</v>
      </c>
      <c r="AG60" s="140">
        <f t="shared" si="13"/>
        <v>0</v>
      </c>
      <c r="AH60" s="140">
        <f t="shared" si="13"/>
        <v>0</v>
      </c>
      <c r="AI60" s="140">
        <f t="shared" si="13"/>
        <v>0</v>
      </c>
      <c r="AJ60" s="140">
        <f t="shared" si="13"/>
        <v>0</v>
      </c>
      <c r="AK60" s="140">
        <f t="shared" si="13"/>
        <v>0</v>
      </c>
      <c r="AL60" s="140">
        <f t="shared" si="13"/>
        <v>0</v>
      </c>
      <c r="AM60" s="140">
        <f t="shared" si="13"/>
        <v>0</v>
      </c>
      <c r="AN60" s="140"/>
      <c r="AO60" s="140">
        <f>AO54-AO55-AO57-AO59-AO56-AO58</f>
        <v>803.2</v>
      </c>
      <c r="AP60" s="140">
        <f>AP54-AP55-AP57-AP59-AP56-AP58</f>
        <v>1030.4000000000005</v>
      </c>
      <c r="AR60" s="143"/>
    </row>
    <row r="61" spans="1:44" s="142" customFormat="1" ht="15" customHeight="1">
      <c r="A61" s="138" t="s">
        <v>10</v>
      </c>
      <c r="B61" s="139">
        <v>84.1</v>
      </c>
      <c r="C61" s="139">
        <v>115.89999999999998</v>
      </c>
      <c r="D61" s="140"/>
      <c r="E61" s="140"/>
      <c r="F61" s="140"/>
      <c r="G61" s="140"/>
      <c r="H61" s="140"/>
      <c r="I61" s="140"/>
      <c r="J61" s="140"/>
      <c r="K61" s="140"/>
      <c r="L61" s="140">
        <v>0</v>
      </c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>
        <v>17.1</v>
      </c>
      <c r="Y61" s="140">
        <v>4</v>
      </c>
      <c r="Z61" s="140">
        <v>0.7</v>
      </c>
      <c r="AA61" s="140"/>
      <c r="AB61" s="140"/>
      <c r="AC61" s="140">
        <v>3</v>
      </c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>
        <f aca="true" t="shared" si="14" ref="AO61:AO92">SUM(D61:AM61)</f>
        <v>24.8</v>
      </c>
      <c r="AP61" s="140">
        <f aca="true" t="shared" si="15" ref="AP61:AP67">B61+C61-AO61</f>
        <v>175.19999999999996</v>
      </c>
      <c r="AR61" s="143"/>
    </row>
    <row r="62" spans="1:44" s="142" customFormat="1" ht="15" customHeight="1">
      <c r="A62" s="138" t="s">
        <v>11</v>
      </c>
      <c r="B62" s="139">
        <v>3466.4</v>
      </c>
      <c r="C62" s="139">
        <v>6327.7</v>
      </c>
      <c r="D62" s="140"/>
      <c r="E62" s="140">
        <v>0</v>
      </c>
      <c r="F62" s="140">
        <v>0</v>
      </c>
      <c r="G62" s="140">
        <v>0</v>
      </c>
      <c r="H62" s="140">
        <v>150.4</v>
      </c>
      <c r="I62" s="140">
        <v>56.7</v>
      </c>
      <c r="J62" s="140">
        <v>0</v>
      </c>
      <c r="K62" s="140">
        <v>0</v>
      </c>
      <c r="L62" s="140">
        <v>23.8</v>
      </c>
      <c r="M62" s="140">
        <v>0</v>
      </c>
      <c r="N62" s="140">
        <v>0</v>
      </c>
      <c r="O62" s="140">
        <v>692.4</v>
      </c>
      <c r="P62" s="140"/>
      <c r="Q62" s="140">
        <v>1.3</v>
      </c>
      <c r="R62" s="140"/>
      <c r="S62" s="140"/>
      <c r="T62" s="140"/>
      <c r="U62" s="140"/>
      <c r="V62" s="140">
        <v>14.4</v>
      </c>
      <c r="W62" s="140"/>
      <c r="X62" s="140">
        <v>275.5</v>
      </c>
      <c r="Y62" s="140"/>
      <c r="Z62" s="140">
        <v>1169.7</v>
      </c>
      <c r="AA62" s="140"/>
      <c r="AB62" s="140"/>
      <c r="AC62" s="140"/>
      <c r="AD62" s="140"/>
      <c r="AE62" s="140">
        <v>99.6</v>
      </c>
      <c r="AF62" s="140"/>
      <c r="AG62" s="140"/>
      <c r="AH62" s="140"/>
      <c r="AI62" s="140"/>
      <c r="AJ62" s="140"/>
      <c r="AK62" s="140"/>
      <c r="AL62" s="140"/>
      <c r="AM62" s="140"/>
      <c r="AN62" s="140"/>
      <c r="AO62" s="140">
        <f t="shared" si="14"/>
        <v>2483.7999999999997</v>
      </c>
      <c r="AP62" s="140">
        <f t="shared" si="15"/>
        <v>7310.300000000001</v>
      </c>
      <c r="AR62" s="143"/>
    </row>
    <row r="63" spans="1:44" s="142" customFormat="1" ht="15.75">
      <c r="A63" s="144" t="s">
        <v>5</v>
      </c>
      <c r="B63" s="139">
        <v>1304.1</v>
      </c>
      <c r="C63" s="139">
        <v>1853.6999999999994</v>
      </c>
      <c r="D63" s="140"/>
      <c r="E63" s="140">
        <v>0</v>
      </c>
      <c r="F63" s="140"/>
      <c r="G63" s="140"/>
      <c r="H63" s="140"/>
      <c r="I63" s="140">
        <v>56.7</v>
      </c>
      <c r="J63" s="140"/>
      <c r="K63" s="140"/>
      <c r="L63" s="140"/>
      <c r="M63" s="140"/>
      <c r="N63" s="140"/>
      <c r="O63" s="140">
        <v>432.5</v>
      </c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>
        <v>932.1</v>
      </c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>
        <f t="shared" si="14"/>
        <v>1421.3</v>
      </c>
      <c r="AP63" s="140">
        <f t="shared" si="15"/>
        <v>1736.4999999999993</v>
      </c>
      <c r="AQ63" s="157"/>
      <c r="AR63" s="143"/>
    </row>
    <row r="64" spans="1:44" s="142" customFormat="1" ht="15.75" hidden="1">
      <c r="A64" s="144" t="s">
        <v>3</v>
      </c>
      <c r="B64" s="139"/>
      <c r="C64" s="139">
        <v>0</v>
      </c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>
        <f t="shared" si="14"/>
        <v>0</v>
      </c>
      <c r="AP64" s="140">
        <f t="shared" si="15"/>
        <v>0</v>
      </c>
      <c r="AQ64" s="143"/>
      <c r="AR64" s="143"/>
    </row>
    <row r="65" spans="1:44" s="142" customFormat="1" ht="15.75">
      <c r="A65" s="144" t="s">
        <v>1</v>
      </c>
      <c r="B65" s="139">
        <f>275.3-15</f>
        <v>260.3</v>
      </c>
      <c r="C65" s="139">
        <v>873.5999999999999</v>
      </c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>
        <v>53</v>
      </c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>
        <v>36.6</v>
      </c>
      <c r="AF65" s="140"/>
      <c r="AG65" s="140"/>
      <c r="AH65" s="140"/>
      <c r="AI65" s="140"/>
      <c r="AJ65" s="140"/>
      <c r="AK65" s="140"/>
      <c r="AL65" s="140"/>
      <c r="AM65" s="140"/>
      <c r="AN65" s="140"/>
      <c r="AO65" s="140">
        <f t="shared" si="14"/>
        <v>89.6</v>
      </c>
      <c r="AP65" s="140">
        <f t="shared" si="15"/>
        <v>1044.3</v>
      </c>
      <c r="AQ65" s="143"/>
      <c r="AR65" s="143"/>
    </row>
    <row r="66" spans="1:44" s="142" customFormat="1" ht="15.75">
      <c r="A66" s="144" t="s">
        <v>2</v>
      </c>
      <c r="B66" s="139">
        <v>35.3</v>
      </c>
      <c r="C66" s="139">
        <v>110.19999999999997</v>
      </c>
      <c r="D66" s="140"/>
      <c r="E66" s="140"/>
      <c r="F66" s="140"/>
      <c r="G66" s="140"/>
      <c r="H66" s="140"/>
      <c r="I66" s="140"/>
      <c r="J66" s="140"/>
      <c r="K66" s="140"/>
      <c r="L66" s="140">
        <v>13.7</v>
      </c>
      <c r="M66" s="140"/>
      <c r="N66" s="140"/>
      <c r="O66" s="140"/>
      <c r="P66" s="140"/>
      <c r="Q66" s="140">
        <v>1.2</v>
      </c>
      <c r="R66" s="140"/>
      <c r="S66" s="140"/>
      <c r="T66" s="140"/>
      <c r="U66" s="140"/>
      <c r="V66" s="140"/>
      <c r="W66" s="140"/>
      <c r="X66" s="140">
        <v>3.1</v>
      </c>
      <c r="Y66" s="140"/>
      <c r="Z66" s="140"/>
      <c r="AA66" s="140"/>
      <c r="AB66" s="140"/>
      <c r="AC66" s="140"/>
      <c r="AD66" s="140"/>
      <c r="AE66" s="140">
        <v>0.4</v>
      </c>
      <c r="AF66" s="140"/>
      <c r="AG66" s="140"/>
      <c r="AH66" s="140"/>
      <c r="AI66" s="140"/>
      <c r="AJ66" s="140"/>
      <c r="AK66" s="140"/>
      <c r="AL66" s="140"/>
      <c r="AM66" s="140"/>
      <c r="AN66" s="140"/>
      <c r="AO66" s="140">
        <f t="shared" si="14"/>
        <v>18.4</v>
      </c>
      <c r="AP66" s="140">
        <f t="shared" si="15"/>
        <v>127.09999999999997</v>
      </c>
      <c r="AR66" s="143"/>
    </row>
    <row r="67" spans="1:44" s="142" customFormat="1" ht="15.75">
      <c r="A67" s="144" t="s">
        <v>16</v>
      </c>
      <c r="B67" s="139">
        <v>700.8</v>
      </c>
      <c r="C67" s="139">
        <v>477.9000000000001</v>
      </c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>
        <v>245</v>
      </c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>
        <f t="shared" si="14"/>
        <v>245</v>
      </c>
      <c r="AP67" s="140">
        <f t="shared" si="15"/>
        <v>933.7</v>
      </c>
      <c r="AR67" s="143"/>
    </row>
    <row r="68" spans="1:44" s="142" customFormat="1" ht="15.75">
      <c r="A68" s="144" t="s">
        <v>23</v>
      </c>
      <c r="B68" s="139">
        <f aca="true" t="shared" si="16" ref="B68:AM68">B62-B63-B66-B67-B65-B64</f>
        <v>1165.9</v>
      </c>
      <c r="C68" s="139">
        <v>3012.3</v>
      </c>
      <c r="D68" s="140">
        <f t="shared" si="16"/>
        <v>0</v>
      </c>
      <c r="E68" s="140">
        <f t="shared" si="16"/>
        <v>0</v>
      </c>
      <c r="F68" s="140">
        <f t="shared" si="16"/>
        <v>0</v>
      </c>
      <c r="G68" s="140">
        <f t="shared" si="16"/>
        <v>0</v>
      </c>
      <c r="H68" s="140">
        <f>H62-H63-H66-H67-H65-H64</f>
        <v>150.4</v>
      </c>
      <c r="I68" s="140">
        <f>I62-I63-I66-I67-I65-I64</f>
        <v>0</v>
      </c>
      <c r="J68" s="140">
        <f>J62-J63-J66-J67-J65-J64</f>
        <v>0</v>
      </c>
      <c r="K68" s="140">
        <f t="shared" si="16"/>
        <v>0</v>
      </c>
      <c r="L68" s="140">
        <f t="shared" si="16"/>
        <v>10.100000000000001</v>
      </c>
      <c r="M68" s="140">
        <f t="shared" si="16"/>
        <v>0</v>
      </c>
      <c r="N68" s="140">
        <f t="shared" si="16"/>
        <v>0</v>
      </c>
      <c r="O68" s="140">
        <f t="shared" si="16"/>
        <v>206.89999999999998</v>
      </c>
      <c r="P68" s="140">
        <f>P62-P63-P66-P67-P65-P64</f>
        <v>0</v>
      </c>
      <c r="Q68" s="140">
        <f>Q62-Q63-Q66-Q67-Q65-Q64</f>
        <v>0.10000000000000009</v>
      </c>
      <c r="R68" s="140">
        <f t="shared" si="16"/>
        <v>0</v>
      </c>
      <c r="S68" s="140">
        <f t="shared" si="16"/>
        <v>0</v>
      </c>
      <c r="T68" s="140">
        <f t="shared" si="16"/>
        <v>0</v>
      </c>
      <c r="U68" s="140">
        <f t="shared" si="16"/>
        <v>0</v>
      </c>
      <c r="V68" s="140">
        <f t="shared" si="16"/>
        <v>14.4</v>
      </c>
      <c r="W68" s="140">
        <f>W62-W63-W66-W67-W65-W64</f>
        <v>0</v>
      </c>
      <c r="X68" s="140">
        <f>X62-X63-X66-X67-X65-X64</f>
        <v>27.399999999999977</v>
      </c>
      <c r="Y68" s="140">
        <f t="shared" si="16"/>
        <v>0</v>
      </c>
      <c r="Z68" s="140">
        <f t="shared" si="16"/>
        <v>237.60000000000002</v>
      </c>
      <c r="AA68" s="140">
        <f t="shared" si="16"/>
        <v>0</v>
      </c>
      <c r="AB68" s="140">
        <f t="shared" si="16"/>
        <v>0</v>
      </c>
      <c r="AC68" s="140">
        <f t="shared" si="16"/>
        <v>0</v>
      </c>
      <c r="AD68" s="140">
        <f>AD62-AD63-AD66-AD67-AD65-AD64</f>
        <v>0</v>
      </c>
      <c r="AE68" s="140">
        <f>AE62-AE63-AE66-AE67-AE65-AE64</f>
        <v>62.59999999999999</v>
      </c>
      <c r="AF68" s="140">
        <f t="shared" si="16"/>
        <v>0</v>
      </c>
      <c r="AG68" s="140">
        <f t="shared" si="16"/>
        <v>0</v>
      </c>
      <c r="AH68" s="140">
        <f t="shared" si="16"/>
        <v>0</v>
      </c>
      <c r="AI68" s="140">
        <f t="shared" si="16"/>
        <v>0</v>
      </c>
      <c r="AJ68" s="140">
        <f t="shared" si="16"/>
        <v>0</v>
      </c>
      <c r="AK68" s="140">
        <f t="shared" si="16"/>
        <v>0</v>
      </c>
      <c r="AL68" s="140">
        <f t="shared" si="16"/>
        <v>0</v>
      </c>
      <c r="AM68" s="140">
        <f t="shared" si="16"/>
        <v>0</v>
      </c>
      <c r="AN68" s="140"/>
      <c r="AO68" s="140">
        <f t="shared" si="14"/>
        <v>709.5</v>
      </c>
      <c r="AP68" s="140">
        <f>AP62-AP63-AP66-AP67-AP65-AP64</f>
        <v>3468.7000000000016</v>
      </c>
      <c r="AR68" s="143"/>
    </row>
    <row r="69" spans="1:44" s="142" customFormat="1" ht="31.5">
      <c r="A69" s="138" t="s">
        <v>45</v>
      </c>
      <c r="B69" s="139">
        <f>2011.5-6.2-150</f>
        <v>1855.3</v>
      </c>
      <c r="C69" s="139">
        <v>11.700000000000045</v>
      </c>
      <c r="D69" s="140"/>
      <c r="E69" s="140"/>
      <c r="F69" s="140">
        <v>0</v>
      </c>
      <c r="G69" s="140"/>
      <c r="H69" s="140">
        <v>949.6</v>
      </c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>
        <v>785.4</v>
      </c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>
        <f t="shared" si="14"/>
        <v>1735</v>
      </c>
      <c r="AP69" s="158">
        <f aca="true" t="shared" si="17" ref="AP69:AP92">B69+C69-AO69</f>
        <v>132</v>
      </c>
      <c r="AR69" s="143"/>
    </row>
    <row r="70" spans="1:44" s="142" customFormat="1" ht="15.75" hidden="1">
      <c r="A70" s="138" t="s">
        <v>32</v>
      </c>
      <c r="B70" s="139"/>
      <c r="C70" s="139">
        <v>0</v>
      </c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>
        <f t="shared" si="14"/>
        <v>0</v>
      </c>
      <c r="AP70" s="158">
        <f t="shared" si="17"/>
        <v>0</v>
      </c>
      <c r="AR70" s="143"/>
    </row>
    <row r="71" spans="1:59" s="142" customFormat="1" ht="31.5">
      <c r="A71" s="138" t="s">
        <v>46</v>
      </c>
      <c r="B71" s="139">
        <f>2875.6-1300</f>
        <v>1575.6</v>
      </c>
      <c r="C71" s="159">
        <v>237.20000000000005</v>
      </c>
      <c r="D71" s="154">
        <v>871.8</v>
      </c>
      <c r="E71" s="154"/>
      <c r="F71" s="154"/>
      <c r="G71" s="154"/>
      <c r="H71" s="154"/>
      <c r="I71" s="154">
        <v>627.7</v>
      </c>
      <c r="J71" s="154"/>
      <c r="K71" s="154"/>
      <c r="L71" s="154"/>
      <c r="M71" s="154"/>
      <c r="N71" s="154">
        <v>0</v>
      </c>
      <c r="O71" s="154">
        <v>17.7</v>
      </c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>
        <v>73.7</v>
      </c>
      <c r="AD71" s="154"/>
      <c r="AE71" s="154"/>
      <c r="AF71" s="154"/>
      <c r="AG71" s="154"/>
      <c r="AH71" s="154"/>
      <c r="AI71" s="154"/>
      <c r="AJ71" s="154"/>
      <c r="AK71" s="154"/>
      <c r="AL71" s="154"/>
      <c r="AM71" s="154"/>
      <c r="AN71" s="154"/>
      <c r="AO71" s="140">
        <f t="shared" si="14"/>
        <v>1590.9</v>
      </c>
      <c r="AP71" s="158">
        <f t="shared" si="17"/>
        <v>221.89999999999986</v>
      </c>
      <c r="AQ71" s="160"/>
      <c r="AR71" s="143"/>
      <c r="AS71" s="160"/>
      <c r="AT71" s="160"/>
      <c r="AU71" s="160"/>
      <c r="AV71" s="160"/>
      <c r="AW71" s="160"/>
      <c r="AX71" s="160"/>
      <c r="AY71" s="160"/>
      <c r="AZ71" s="160"/>
      <c r="BA71" s="160"/>
      <c r="BB71" s="160"/>
      <c r="BC71" s="160"/>
      <c r="BD71" s="160"/>
      <c r="BE71" s="160"/>
      <c r="BF71" s="160"/>
      <c r="BG71" s="160"/>
    </row>
    <row r="72" spans="1:44" s="142" customFormat="1" ht="15" customHeight="1">
      <c r="A72" s="138" t="s">
        <v>47</v>
      </c>
      <c r="B72" s="153">
        <f>1453.9-100-180</f>
        <v>1173.9</v>
      </c>
      <c r="C72" s="139">
        <v>2701.5</v>
      </c>
      <c r="D72" s="140"/>
      <c r="E72" s="140">
        <v>0</v>
      </c>
      <c r="F72" s="140">
        <v>0</v>
      </c>
      <c r="G72" s="140">
        <v>0</v>
      </c>
      <c r="H72" s="140">
        <v>13.5</v>
      </c>
      <c r="I72" s="140">
        <v>144.6</v>
      </c>
      <c r="J72" s="140">
        <v>16.7</v>
      </c>
      <c r="K72" s="140">
        <v>11.8</v>
      </c>
      <c r="L72" s="140">
        <v>1.2</v>
      </c>
      <c r="M72" s="140">
        <v>0</v>
      </c>
      <c r="N72" s="140">
        <v>0</v>
      </c>
      <c r="O72" s="140">
        <v>1.1</v>
      </c>
      <c r="P72" s="140">
        <f>86.9-74.1</f>
        <v>12.800000000000011</v>
      </c>
      <c r="Q72" s="140"/>
      <c r="R72" s="140">
        <v>4.8</v>
      </c>
      <c r="S72" s="140">
        <v>20.3</v>
      </c>
      <c r="T72" s="140"/>
      <c r="U72" s="140"/>
      <c r="V72" s="140">
        <v>1.8</v>
      </c>
      <c r="W72" s="140"/>
      <c r="X72" s="140">
        <v>49.6</v>
      </c>
      <c r="Y72" s="140">
        <v>3.3</v>
      </c>
      <c r="Z72" s="140"/>
      <c r="AA72" s="140"/>
      <c r="AB72" s="140"/>
      <c r="AC72" s="140">
        <f>72.4+9.6</f>
        <v>82</v>
      </c>
      <c r="AD72" s="140">
        <v>433.3</v>
      </c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  <c r="AO72" s="140">
        <f t="shared" si="14"/>
        <v>796.8000000000001</v>
      </c>
      <c r="AP72" s="158">
        <f t="shared" si="17"/>
        <v>3078.6</v>
      </c>
      <c r="AR72" s="143"/>
    </row>
    <row r="73" spans="1:44" s="142" customFormat="1" ht="15" customHeight="1">
      <c r="A73" s="144" t="s">
        <v>5</v>
      </c>
      <c r="B73" s="139">
        <v>0</v>
      </c>
      <c r="C73" s="139">
        <v>0</v>
      </c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>
        <f t="shared" si="14"/>
        <v>0</v>
      </c>
      <c r="AP73" s="158">
        <f t="shared" si="17"/>
        <v>0</v>
      </c>
      <c r="AR73" s="143"/>
    </row>
    <row r="74" spans="1:44" s="142" customFormat="1" ht="15" customHeight="1">
      <c r="A74" s="144" t="s">
        <v>2</v>
      </c>
      <c r="B74" s="139">
        <f>88+31-0.7</f>
        <v>118.3</v>
      </c>
      <c r="C74" s="139">
        <v>577</v>
      </c>
      <c r="D74" s="140"/>
      <c r="E74" s="140"/>
      <c r="F74" s="140"/>
      <c r="G74" s="140"/>
      <c r="H74" s="140"/>
      <c r="I74" s="140">
        <v>40.7</v>
      </c>
      <c r="J74" s="140">
        <f>15.2-2.2</f>
        <v>13</v>
      </c>
      <c r="K74" s="140">
        <v>1.4</v>
      </c>
      <c r="L74" s="140">
        <v>0.7</v>
      </c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/>
      <c r="AH74" s="140"/>
      <c r="AI74" s="140"/>
      <c r="AJ74" s="140"/>
      <c r="AK74" s="140"/>
      <c r="AL74" s="140"/>
      <c r="AM74" s="140"/>
      <c r="AN74" s="140"/>
      <c r="AO74" s="140">
        <f t="shared" si="14"/>
        <v>55.800000000000004</v>
      </c>
      <c r="AP74" s="158">
        <f t="shared" si="17"/>
        <v>639.5</v>
      </c>
      <c r="AR74" s="143"/>
    </row>
    <row r="75" spans="1:44" s="142" customFormat="1" ht="15" customHeight="1">
      <c r="A75" s="144" t="s">
        <v>16</v>
      </c>
      <c r="B75" s="139">
        <f>202.6+15.2</f>
        <v>217.79999999999998</v>
      </c>
      <c r="C75" s="139">
        <v>147.6</v>
      </c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>
        <v>1.1</v>
      </c>
      <c r="P75" s="140">
        <v>2.9</v>
      </c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/>
      <c r="AH75" s="140"/>
      <c r="AI75" s="140"/>
      <c r="AJ75" s="140"/>
      <c r="AK75" s="140"/>
      <c r="AL75" s="140"/>
      <c r="AM75" s="140"/>
      <c r="AN75" s="140"/>
      <c r="AO75" s="140">
        <f t="shared" si="14"/>
        <v>4</v>
      </c>
      <c r="AP75" s="158">
        <f t="shared" si="17"/>
        <v>361.4</v>
      </c>
      <c r="AR75" s="143"/>
    </row>
    <row r="76" spans="1:44" s="162" customFormat="1" ht="15.75">
      <c r="A76" s="161" t="s">
        <v>48</v>
      </c>
      <c r="B76" s="139">
        <f>100+241.3</f>
        <v>341.3</v>
      </c>
      <c r="C76" s="139">
        <v>181.2999999999999</v>
      </c>
      <c r="D76" s="140"/>
      <c r="E76" s="154"/>
      <c r="F76" s="154">
        <v>0</v>
      </c>
      <c r="G76" s="154"/>
      <c r="H76" s="154"/>
      <c r="I76" s="154"/>
      <c r="J76" s="154"/>
      <c r="K76" s="154"/>
      <c r="L76" s="154"/>
      <c r="M76" s="154">
        <v>0</v>
      </c>
      <c r="N76" s="154"/>
      <c r="O76" s="154"/>
      <c r="P76" s="154">
        <v>74.1</v>
      </c>
      <c r="Q76" s="154"/>
      <c r="R76" s="154"/>
      <c r="S76" s="154"/>
      <c r="T76" s="154"/>
      <c r="U76" s="154"/>
      <c r="V76" s="154"/>
      <c r="W76" s="154"/>
      <c r="X76" s="154"/>
      <c r="Y76" s="154"/>
      <c r="Z76" s="154"/>
      <c r="AA76" s="154"/>
      <c r="AB76" s="154"/>
      <c r="AC76" s="154">
        <v>147.9</v>
      </c>
      <c r="AD76" s="154"/>
      <c r="AE76" s="154"/>
      <c r="AF76" s="154"/>
      <c r="AG76" s="154"/>
      <c r="AH76" s="154"/>
      <c r="AI76" s="154"/>
      <c r="AJ76" s="154"/>
      <c r="AK76" s="154"/>
      <c r="AL76" s="154"/>
      <c r="AM76" s="154"/>
      <c r="AN76" s="154"/>
      <c r="AO76" s="140">
        <f t="shared" si="14"/>
        <v>222</v>
      </c>
      <c r="AP76" s="158">
        <f t="shared" si="17"/>
        <v>300.5999999999999</v>
      </c>
      <c r="AR76" s="143"/>
    </row>
    <row r="77" spans="1:44" s="162" customFormat="1" ht="15.75">
      <c r="A77" s="144" t="s">
        <v>5</v>
      </c>
      <c r="B77" s="139">
        <v>221.6</v>
      </c>
      <c r="C77" s="139">
        <v>0.39999999999997726</v>
      </c>
      <c r="D77" s="140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>
        <v>70.3</v>
      </c>
      <c r="Q77" s="154"/>
      <c r="R77" s="154"/>
      <c r="S77" s="154"/>
      <c r="T77" s="154"/>
      <c r="U77" s="154"/>
      <c r="V77" s="154"/>
      <c r="W77" s="154"/>
      <c r="X77" s="154"/>
      <c r="Y77" s="154"/>
      <c r="Z77" s="154"/>
      <c r="AA77" s="154"/>
      <c r="AB77" s="154"/>
      <c r="AC77" s="154">
        <v>136.9</v>
      </c>
      <c r="AD77" s="154"/>
      <c r="AE77" s="154"/>
      <c r="AF77" s="154"/>
      <c r="AG77" s="154"/>
      <c r="AH77" s="154"/>
      <c r="AI77" s="154"/>
      <c r="AJ77" s="154"/>
      <c r="AK77" s="154"/>
      <c r="AL77" s="154"/>
      <c r="AM77" s="154"/>
      <c r="AN77" s="154"/>
      <c r="AO77" s="140">
        <f t="shared" si="14"/>
        <v>207.2</v>
      </c>
      <c r="AP77" s="158">
        <f t="shared" si="17"/>
        <v>14.799999999999983</v>
      </c>
      <c r="AR77" s="143"/>
    </row>
    <row r="78" spans="1:44" s="162" customFormat="1" ht="15.75" hidden="1">
      <c r="A78" s="144" t="s">
        <v>3</v>
      </c>
      <c r="B78" s="139"/>
      <c r="C78" s="139">
        <v>0</v>
      </c>
      <c r="D78" s="140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54"/>
      <c r="AH78" s="154"/>
      <c r="AI78" s="154"/>
      <c r="AJ78" s="154"/>
      <c r="AK78" s="154"/>
      <c r="AL78" s="154"/>
      <c r="AM78" s="154"/>
      <c r="AN78" s="154"/>
      <c r="AO78" s="140">
        <f t="shared" si="14"/>
        <v>0</v>
      </c>
      <c r="AP78" s="158">
        <f t="shared" si="17"/>
        <v>0</v>
      </c>
      <c r="AR78" s="143"/>
    </row>
    <row r="79" spans="1:44" s="162" customFormat="1" ht="15.75" hidden="1">
      <c r="A79" s="144" t="s">
        <v>1</v>
      </c>
      <c r="B79" s="139"/>
      <c r="C79" s="139">
        <v>0</v>
      </c>
      <c r="D79" s="140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54"/>
      <c r="AI79" s="154"/>
      <c r="AJ79" s="154"/>
      <c r="AK79" s="154"/>
      <c r="AL79" s="154"/>
      <c r="AM79" s="154"/>
      <c r="AN79" s="154"/>
      <c r="AO79" s="140">
        <f t="shared" si="14"/>
        <v>0</v>
      </c>
      <c r="AP79" s="158">
        <f t="shared" si="17"/>
        <v>0</v>
      </c>
      <c r="AR79" s="143"/>
    </row>
    <row r="80" spans="1:44" s="162" customFormat="1" ht="15.75">
      <c r="A80" s="144" t="s">
        <v>2</v>
      </c>
      <c r="B80" s="139">
        <v>0.6</v>
      </c>
      <c r="C80" s="139">
        <v>2.1000000000000014</v>
      </c>
      <c r="D80" s="140"/>
      <c r="E80" s="154"/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4">
        <v>0.4</v>
      </c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  <c r="AH80" s="154"/>
      <c r="AI80" s="154"/>
      <c r="AJ80" s="154"/>
      <c r="AK80" s="154"/>
      <c r="AL80" s="154"/>
      <c r="AM80" s="154"/>
      <c r="AN80" s="154"/>
      <c r="AO80" s="140">
        <f t="shared" si="14"/>
        <v>0.4</v>
      </c>
      <c r="AP80" s="158">
        <f t="shared" si="17"/>
        <v>2.3000000000000016</v>
      </c>
      <c r="AR80" s="143"/>
    </row>
    <row r="81" spans="1:44" s="162" customFormat="1" ht="15.75">
      <c r="A81" s="161" t="s">
        <v>49</v>
      </c>
      <c r="B81" s="139">
        <v>0</v>
      </c>
      <c r="C81" s="159">
        <v>0</v>
      </c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54"/>
      <c r="AH81" s="154"/>
      <c r="AI81" s="154"/>
      <c r="AJ81" s="154"/>
      <c r="AK81" s="154"/>
      <c r="AL81" s="154"/>
      <c r="AM81" s="154"/>
      <c r="AN81" s="154"/>
      <c r="AO81" s="140">
        <f t="shared" si="14"/>
        <v>0</v>
      </c>
      <c r="AP81" s="158">
        <f t="shared" si="17"/>
        <v>0</v>
      </c>
      <c r="AR81" s="143"/>
    </row>
    <row r="82" spans="1:44" s="162" customFormat="1" ht="15.75" hidden="1">
      <c r="A82" s="161" t="s">
        <v>41</v>
      </c>
      <c r="B82" s="139"/>
      <c r="C82" s="159">
        <v>0</v>
      </c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54"/>
      <c r="AH82" s="154"/>
      <c r="AI82" s="154"/>
      <c r="AJ82" s="154"/>
      <c r="AK82" s="154"/>
      <c r="AL82" s="154"/>
      <c r="AM82" s="154"/>
      <c r="AN82" s="154"/>
      <c r="AO82" s="140">
        <f t="shared" si="14"/>
        <v>0</v>
      </c>
      <c r="AP82" s="158">
        <f t="shared" si="17"/>
        <v>0</v>
      </c>
      <c r="AR82" s="143"/>
    </row>
    <row r="83" spans="1:44" s="162" customFormat="1" ht="15.75" hidden="1">
      <c r="A83" s="161" t="s">
        <v>40</v>
      </c>
      <c r="B83" s="159"/>
      <c r="C83" s="159">
        <v>0</v>
      </c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154"/>
      <c r="AI83" s="154"/>
      <c r="AJ83" s="154"/>
      <c r="AK83" s="154"/>
      <c r="AL83" s="154"/>
      <c r="AM83" s="154"/>
      <c r="AN83" s="154"/>
      <c r="AO83" s="140">
        <f t="shared" si="14"/>
        <v>0</v>
      </c>
      <c r="AP83" s="140">
        <f t="shared" si="17"/>
        <v>0</v>
      </c>
      <c r="AR83" s="143"/>
    </row>
    <row r="84" spans="1:44" s="162" customFormat="1" ht="15.75" hidden="1">
      <c r="A84" s="163" t="s">
        <v>21</v>
      </c>
      <c r="B84" s="139"/>
      <c r="C84" s="159">
        <v>0</v>
      </c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54"/>
      <c r="AH84" s="154"/>
      <c r="AI84" s="154"/>
      <c r="AJ84" s="154"/>
      <c r="AK84" s="154"/>
      <c r="AL84" s="154"/>
      <c r="AM84" s="154"/>
      <c r="AN84" s="154"/>
      <c r="AO84" s="140">
        <f t="shared" si="14"/>
        <v>0</v>
      </c>
      <c r="AP84" s="140">
        <f t="shared" si="17"/>
        <v>0</v>
      </c>
      <c r="AR84" s="143"/>
    </row>
    <row r="85" spans="1:44" s="162" customFormat="1" ht="15.75" hidden="1">
      <c r="A85" s="163" t="s">
        <v>22</v>
      </c>
      <c r="B85" s="139"/>
      <c r="C85" s="159">
        <v>0</v>
      </c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54"/>
      <c r="AH85" s="154"/>
      <c r="AI85" s="154"/>
      <c r="AJ85" s="154"/>
      <c r="AK85" s="154"/>
      <c r="AL85" s="154"/>
      <c r="AM85" s="154"/>
      <c r="AN85" s="154"/>
      <c r="AO85" s="140">
        <f t="shared" si="14"/>
        <v>0</v>
      </c>
      <c r="AP85" s="140">
        <f t="shared" si="17"/>
        <v>0</v>
      </c>
      <c r="AR85" s="143"/>
    </row>
    <row r="86" spans="1:44" s="162" customFormat="1" ht="31.5" hidden="1">
      <c r="A86" s="163" t="s">
        <v>24</v>
      </c>
      <c r="B86" s="139"/>
      <c r="C86" s="159">
        <v>0</v>
      </c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54"/>
      <c r="AH86" s="154"/>
      <c r="AI86" s="154"/>
      <c r="AJ86" s="154"/>
      <c r="AK86" s="154"/>
      <c r="AL86" s="154"/>
      <c r="AM86" s="154"/>
      <c r="AN86" s="154"/>
      <c r="AO86" s="140">
        <f t="shared" si="14"/>
        <v>0</v>
      </c>
      <c r="AP86" s="140">
        <f t="shared" si="17"/>
        <v>0</v>
      </c>
      <c r="AR86" s="143"/>
    </row>
    <row r="87" spans="1:44" s="162" customFormat="1" ht="31.5" hidden="1">
      <c r="A87" s="163" t="s">
        <v>28</v>
      </c>
      <c r="B87" s="139"/>
      <c r="C87" s="159">
        <v>0</v>
      </c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54"/>
      <c r="AH87" s="154"/>
      <c r="AI87" s="154"/>
      <c r="AJ87" s="154"/>
      <c r="AK87" s="154"/>
      <c r="AL87" s="154"/>
      <c r="AM87" s="154"/>
      <c r="AN87" s="154"/>
      <c r="AO87" s="140">
        <f t="shared" si="14"/>
        <v>0</v>
      </c>
      <c r="AP87" s="140">
        <f t="shared" si="17"/>
        <v>0</v>
      </c>
      <c r="AR87" s="143"/>
    </row>
    <row r="88" spans="1:44" s="142" customFormat="1" ht="15.75">
      <c r="A88" s="138" t="s">
        <v>58</v>
      </c>
      <c r="B88" s="139">
        <v>0</v>
      </c>
      <c r="C88" s="139">
        <v>0</v>
      </c>
      <c r="D88" s="140"/>
      <c r="E88" s="140"/>
      <c r="F88" s="140">
        <v>0</v>
      </c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0"/>
      <c r="AE88" s="140"/>
      <c r="AF88" s="140"/>
      <c r="AG88" s="140"/>
      <c r="AH88" s="140"/>
      <c r="AI88" s="140"/>
      <c r="AJ88" s="140"/>
      <c r="AK88" s="140"/>
      <c r="AL88" s="140"/>
      <c r="AM88" s="140"/>
      <c r="AN88" s="140"/>
      <c r="AO88" s="140">
        <f t="shared" si="14"/>
        <v>0</v>
      </c>
      <c r="AP88" s="140">
        <f t="shared" si="17"/>
        <v>0</v>
      </c>
      <c r="AQ88" s="162"/>
      <c r="AR88" s="143"/>
    </row>
    <row r="89" spans="1:44" s="142" customFormat="1" ht="15.75">
      <c r="A89" s="138" t="s">
        <v>50</v>
      </c>
      <c r="B89" s="139">
        <f>14997.5-1348</f>
        <v>13649.5</v>
      </c>
      <c r="C89" s="139">
        <v>2668.2000000000044</v>
      </c>
      <c r="D89" s="140">
        <v>48.4</v>
      </c>
      <c r="E89" s="140">
        <v>407</v>
      </c>
      <c r="F89" s="140">
        <v>0</v>
      </c>
      <c r="G89" s="140">
        <v>0</v>
      </c>
      <c r="H89" s="140">
        <v>1476.3</v>
      </c>
      <c r="I89" s="140">
        <v>0</v>
      </c>
      <c r="J89" s="140">
        <v>1580.9</v>
      </c>
      <c r="K89" s="140">
        <v>0</v>
      </c>
      <c r="L89" s="140">
        <v>0</v>
      </c>
      <c r="M89" s="140">
        <v>0</v>
      </c>
      <c r="N89" s="140">
        <v>0</v>
      </c>
      <c r="O89" s="140">
        <v>0</v>
      </c>
      <c r="P89" s="140">
        <v>5800.7</v>
      </c>
      <c r="Q89" s="140">
        <f>199+1072.5</f>
        <v>1271.5</v>
      </c>
      <c r="R89" s="140">
        <v>49.4</v>
      </c>
      <c r="S89" s="140"/>
      <c r="T89" s="140"/>
      <c r="U89" s="140"/>
      <c r="V89" s="140"/>
      <c r="W89" s="140">
        <v>786.8</v>
      </c>
      <c r="X89" s="140"/>
      <c r="Y89" s="140">
        <v>11</v>
      </c>
      <c r="Z89" s="140"/>
      <c r="AA89" s="140"/>
      <c r="AB89" s="140"/>
      <c r="AC89" s="140">
        <v>895.3</v>
      </c>
      <c r="AD89" s="140"/>
      <c r="AE89" s="140"/>
      <c r="AF89" s="140"/>
      <c r="AG89" s="140"/>
      <c r="AH89" s="140"/>
      <c r="AI89" s="140"/>
      <c r="AJ89" s="140"/>
      <c r="AK89" s="140"/>
      <c r="AL89" s="140"/>
      <c r="AM89" s="140"/>
      <c r="AN89" s="140"/>
      <c r="AO89" s="140">
        <f t="shared" si="14"/>
        <v>12327.299999999997</v>
      </c>
      <c r="AP89" s="140">
        <f t="shared" si="17"/>
        <v>3990.400000000007</v>
      </c>
      <c r="AQ89" s="162"/>
      <c r="AR89" s="143"/>
    </row>
    <row r="90" spans="1:44" s="142" customFormat="1" ht="15.75">
      <c r="A90" s="138" t="s">
        <v>51</v>
      </c>
      <c r="B90" s="139">
        <v>5660.4</v>
      </c>
      <c r="C90" s="139">
        <v>0</v>
      </c>
      <c r="D90" s="140"/>
      <c r="E90" s="140"/>
      <c r="F90" s="140"/>
      <c r="G90" s="140"/>
      <c r="H90" s="140"/>
      <c r="I90" s="140"/>
      <c r="J90" s="140">
        <v>0</v>
      </c>
      <c r="K90" s="140"/>
      <c r="L90" s="140">
        <v>1886.8</v>
      </c>
      <c r="M90" s="140">
        <v>0</v>
      </c>
      <c r="N90" s="140"/>
      <c r="O90" s="140"/>
      <c r="P90" s="140"/>
      <c r="Q90" s="140"/>
      <c r="R90" s="140"/>
      <c r="S90" s="140"/>
      <c r="T90" s="140"/>
      <c r="U90" s="140"/>
      <c r="V90" s="140"/>
      <c r="W90" s="140">
        <v>1886.8</v>
      </c>
      <c r="X90" s="140"/>
      <c r="Y90" s="140"/>
      <c r="Z90" s="140"/>
      <c r="AA90" s="140"/>
      <c r="AB90" s="140"/>
      <c r="AC90" s="140"/>
      <c r="AD90" s="140"/>
      <c r="AE90" s="140"/>
      <c r="AF90" s="140">
        <v>1886.8</v>
      </c>
      <c r="AG90" s="140"/>
      <c r="AH90" s="140"/>
      <c r="AI90" s="140"/>
      <c r="AJ90" s="140"/>
      <c r="AK90" s="140"/>
      <c r="AL90" s="140"/>
      <c r="AM90" s="140"/>
      <c r="AN90" s="140"/>
      <c r="AO90" s="140">
        <f t="shared" si="14"/>
        <v>5660.4</v>
      </c>
      <c r="AP90" s="140">
        <f t="shared" si="17"/>
        <v>0</v>
      </c>
      <c r="AQ90" s="162"/>
      <c r="AR90" s="143"/>
    </row>
    <row r="91" spans="1:44" s="142" customFormat="1" ht="15.75">
      <c r="A91" s="138" t="s">
        <v>25</v>
      </c>
      <c r="B91" s="139">
        <v>20</v>
      </c>
      <c r="C91" s="139">
        <v>80</v>
      </c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140"/>
      <c r="AC91" s="140"/>
      <c r="AD91" s="140"/>
      <c r="AE91" s="140"/>
      <c r="AF91" s="140"/>
      <c r="AG91" s="140"/>
      <c r="AH91" s="140"/>
      <c r="AI91" s="140"/>
      <c r="AJ91" s="140"/>
      <c r="AK91" s="140"/>
      <c r="AL91" s="140"/>
      <c r="AM91" s="140"/>
      <c r="AN91" s="140"/>
      <c r="AO91" s="140">
        <f t="shared" si="14"/>
        <v>0</v>
      </c>
      <c r="AP91" s="140">
        <f t="shared" si="17"/>
        <v>100</v>
      </c>
      <c r="AQ91" s="162"/>
      <c r="AR91" s="143"/>
    </row>
    <row r="92" spans="1:43" s="142" customFormat="1" ht="15.75">
      <c r="A92" s="138" t="s">
        <v>37</v>
      </c>
      <c r="B92" s="139">
        <f>48962.7+5472.4+1300+431.4</f>
        <v>56166.5</v>
      </c>
      <c r="C92" s="139">
        <v>2.400000000001455</v>
      </c>
      <c r="D92" s="140">
        <v>5345.3</v>
      </c>
      <c r="E92" s="140">
        <v>46084</v>
      </c>
      <c r="F92" s="140">
        <v>0</v>
      </c>
      <c r="G92" s="140">
        <v>0</v>
      </c>
      <c r="H92" s="140">
        <v>0</v>
      </c>
      <c r="I92" s="140">
        <v>-5693.5</v>
      </c>
      <c r="J92" s="140">
        <v>200.6</v>
      </c>
      <c r="K92" s="140">
        <v>1784.9</v>
      </c>
      <c r="L92" s="140">
        <v>262.9</v>
      </c>
      <c r="M92" s="140"/>
      <c r="N92" s="140"/>
      <c r="O92" s="140">
        <v>230</v>
      </c>
      <c r="P92" s="140">
        <v>1186.5</v>
      </c>
      <c r="Q92" s="140">
        <v>5036.8</v>
      </c>
      <c r="R92" s="140"/>
      <c r="S92" s="140"/>
      <c r="T92" s="140"/>
      <c r="U92" s="140"/>
      <c r="V92" s="140"/>
      <c r="W92" s="140"/>
      <c r="X92" s="140">
        <v>1300</v>
      </c>
      <c r="Y92" s="140"/>
      <c r="Z92" s="140">
        <v>428.7</v>
      </c>
      <c r="AA92" s="140"/>
      <c r="AB92" s="140"/>
      <c r="AC92" s="140"/>
      <c r="AD92" s="140"/>
      <c r="AE92" s="140"/>
      <c r="AF92" s="140">
        <v>0.5</v>
      </c>
      <c r="AG92" s="140"/>
      <c r="AH92" s="140"/>
      <c r="AI92" s="140"/>
      <c r="AJ92" s="140"/>
      <c r="AK92" s="140"/>
      <c r="AL92" s="140"/>
      <c r="AM92" s="140"/>
      <c r="AN92" s="140"/>
      <c r="AO92" s="140">
        <f t="shared" si="14"/>
        <v>56166.700000000004</v>
      </c>
      <c r="AP92" s="140">
        <f t="shared" si="17"/>
        <v>2.1999999999970896</v>
      </c>
      <c r="AQ92" s="164"/>
    </row>
    <row r="93" spans="1:42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</row>
    <row r="94" spans="1:42" s="134" customFormat="1" ht="15.75">
      <c r="A94" s="135" t="s">
        <v>27</v>
      </c>
      <c r="B94" s="136">
        <f aca="true" t="shared" si="18" ref="B94:AH94">B10+B15+B24+B33+B47+B52+B54+B61+B62+B69+B71+B72+B76+B81+B82+B83+B88+B89+B90+B91+B40+B92+B70</f>
        <v>206143.30000000002</v>
      </c>
      <c r="C94" s="136">
        <f>C10+C15+C24+C33+C47+C52+C54+C61+C62+C69+C71+C72+C76+C81+C82+C83+C88+C89+C90+C91+C40+C92+C70</f>
        <v>82576.00000000003</v>
      </c>
      <c r="D94" s="91">
        <f t="shared" si="18"/>
        <v>6849.1</v>
      </c>
      <c r="E94" s="91">
        <f t="shared" si="18"/>
        <v>49242.7</v>
      </c>
      <c r="F94" s="91">
        <f t="shared" si="18"/>
        <v>0</v>
      </c>
      <c r="G94" s="91">
        <f t="shared" si="18"/>
        <v>0</v>
      </c>
      <c r="H94" s="91">
        <f>H10+H15+H24+H33+H47+H52+H54+H61+H62+H69+H71+H72+H76+H81+H82+H83+H88+H89+H90+H91+H40+H92+H70</f>
        <v>5626.700000000001</v>
      </c>
      <c r="I94" s="91">
        <f>I10+I15+I24+I33+I47+I52+I54+I61+I62+I69+I71+I72+I76+I81+I82+I83+I88+I89+I90+I91+I40+I92+I70</f>
        <v>-4243</v>
      </c>
      <c r="J94" s="91">
        <f>J10+J15+J24+J33+J47+J52+J54+J61+J62+J69+J71+J72+J76+J81+J82+J83+J88+J89+J90+J91+J40+J92+J70</f>
        <v>3077.4</v>
      </c>
      <c r="K94" s="91">
        <f t="shared" si="18"/>
        <v>2840.7</v>
      </c>
      <c r="L94" s="91">
        <f t="shared" si="18"/>
        <v>4780.199999999999</v>
      </c>
      <c r="M94" s="91">
        <f t="shared" si="18"/>
        <v>0</v>
      </c>
      <c r="N94" s="91">
        <f t="shared" si="18"/>
        <v>0</v>
      </c>
      <c r="O94" s="91">
        <f t="shared" si="18"/>
        <v>1840.3999999999999</v>
      </c>
      <c r="P94" s="91">
        <f>P10+P15+P24+P33+P47+P52+P54+P61+P62+P69+P71+P72+P76+P81+P82+P83+P88+P89+P90+P91+P40+P92+P70</f>
        <v>34471.200000000004</v>
      </c>
      <c r="Q94" s="91">
        <f>Q10+Q15+Q24+Q33+Q47+Q52+Q54+Q61+Q62+Q69+Q71+Q72+Q76+Q81+Q82+Q83+Q88+Q89+Q90+Q91+Q40+Q92+Q70</f>
        <v>9461.2</v>
      </c>
      <c r="R94" s="91">
        <f t="shared" si="18"/>
        <v>199.20000000000002</v>
      </c>
      <c r="S94" s="91">
        <f t="shared" si="18"/>
        <v>3050.6</v>
      </c>
      <c r="T94" s="91">
        <f t="shared" si="18"/>
        <v>0</v>
      </c>
      <c r="U94" s="91">
        <f t="shared" si="18"/>
        <v>0</v>
      </c>
      <c r="V94" s="91">
        <f t="shared" si="18"/>
        <v>2864.9</v>
      </c>
      <c r="W94" s="91">
        <f>W10+W15+W24+W33+W47+W52+W54+W61+W62+W69+W71+W72+W76+W81+W82+W83+W88+W89+W90+W91+W40+W92+W70</f>
        <v>3097.6</v>
      </c>
      <c r="X94" s="91">
        <f>X10+X15+X24+X33+X47+X52+X54+X61+X62+X69+X71+X72+X76+X81+X82+X83+X88+X89+X90+X91+X40+X92+X70</f>
        <v>2875.7</v>
      </c>
      <c r="Y94" s="91">
        <f t="shared" si="18"/>
        <v>3320.6</v>
      </c>
      <c r="Z94" s="91">
        <f t="shared" si="18"/>
        <v>17559.9</v>
      </c>
      <c r="AA94" s="91">
        <f t="shared" si="18"/>
        <v>0</v>
      </c>
      <c r="AB94" s="91">
        <f t="shared" si="18"/>
        <v>0</v>
      </c>
      <c r="AC94" s="91">
        <f t="shared" si="18"/>
        <v>31675.9</v>
      </c>
      <c r="AD94" s="91">
        <f>AD10+AD15+AD24+AD33+AD47+AD52+AD54+AD61+AD62+AD69+AD71+AD72+AD76+AD81+AD82+AD83+AD88+AD89+AD90+AD91+AD40+AD92+AD70</f>
        <v>5911.6</v>
      </c>
      <c r="AE94" s="91">
        <f>AE10+AE15+AE24+AE33+AE47+AE52+AE54+AE61+AE62+AE69+AE71+AE72+AE76+AE81+AE82+AE83+AE88+AE89+AE90+AE91+AE40+AE92+AE70</f>
        <v>2386.4</v>
      </c>
      <c r="AF94" s="91">
        <f t="shared" si="18"/>
        <v>1887.5</v>
      </c>
      <c r="AG94" s="91">
        <f t="shared" si="18"/>
        <v>0</v>
      </c>
      <c r="AH94" s="91">
        <f t="shared" si="18"/>
        <v>0</v>
      </c>
      <c r="AI94" s="91">
        <f>AI10+AI15+AI24+AI33+AI47+AI52+AI54+AI61+AI62+AI69+AI71+AI72+AI76+AI81+AI82+AI83+AI88+AI89+AI90+AI91+AI40</f>
        <v>0</v>
      </c>
      <c r="AJ94" s="91">
        <f>AJ10+AJ15+AJ24+AJ33+AJ47+AJ52+AJ54+AJ61+AJ62+AJ69+AJ71+AJ72+AJ76+AJ81+AJ82+AJ83+AJ88+AJ89+AJ90+AJ91+AJ40</f>
        <v>0</v>
      </c>
      <c r="AK94" s="91">
        <f>AK10+AK15+AK24+AK33+AK47+AK52+AK54+AK61+AK62+AK69+AK71+AK72+AK76+AK81+AK82+AK83+AK88+AK89+AK90+AK91+AK40</f>
        <v>0</v>
      </c>
      <c r="AL94" s="91">
        <f>AL10+AL15+AL24+AL33+AL47+AL52+AL54+AL61+AL62+AL69+AL71+AL72+AL76+AL81+AL82+AL83+AL88+AL89+AL90+AL91+AL40</f>
        <v>0</v>
      </c>
      <c r="AM94" s="91">
        <f>AM10+AM15+AM24+AM33+AM47+AM52+AM54+AM61+AM62+AM69+AM71+AM72+AM76+AM81+AM82+AM83+AM88+AM89+AM90+AM91+AM40</f>
        <v>0</v>
      </c>
      <c r="AN94" s="91"/>
      <c r="AO94" s="91">
        <f>AO10+AO15+AO24+AO33+AO47+AO52+AO54+AO61+AO62+AO69+AO71+AO72+AO76+AO81+AO82+AO83+AO88+AO89+AO90+AO91+AO70+AO40+AO92</f>
        <v>188776.50000000003</v>
      </c>
      <c r="AP94" s="91">
        <f>AP10+AP15+AP24+AP33+AP47+AP52+AP54+AP61+AP62+AP69+AP71+AP72+AP76+AP81+AP82+AP83+AP88+AP89+AP90+AP91+AP70+AP40+AP92</f>
        <v>99942.80000000003</v>
      </c>
    </row>
    <row r="95" spans="1:42" s="18" customFormat="1" ht="15.75">
      <c r="A95" s="98" t="s">
        <v>5</v>
      </c>
      <c r="B95" s="97">
        <f aca="true" t="shared" si="19" ref="B95:AM95">B11+B17+B26+B34+B55+B63+B73+B41+B77+B48</f>
        <v>63298.7</v>
      </c>
      <c r="C95" s="97">
        <f>C11+C17+C26+C34+C55+C63+C73+C41+C77+C48</f>
        <v>24578.15999999999</v>
      </c>
      <c r="D95" s="72">
        <f t="shared" si="19"/>
        <v>521.6999999999999</v>
      </c>
      <c r="E95" s="72">
        <f t="shared" si="19"/>
        <v>418.3</v>
      </c>
      <c r="F95" s="72">
        <f t="shared" si="19"/>
        <v>0</v>
      </c>
      <c r="G95" s="72">
        <f t="shared" si="19"/>
        <v>0</v>
      </c>
      <c r="H95" s="72">
        <f>H11+H17+H26+H34+H55+H63+H73+H41+H77+H48</f>
        <v>222.8</v>
      </c>
      <c r="I95" s="72">
        <f>I11+I17+I26+I34+I55+I63+I73+I41+I77+I48</f>
        <v>234.3</v>
      </c>
      <c r="J95" s="72">
        <f>J11+J17+J26+J34+J55+J63+J73+J41+J77+J48</f>
        <v>34.8</v>
      </c>
      <c r="K95" s="72">
        <f t="shared" si="19"/>
        <v>0</v>
      </c>
      <c r="L95" s="72">
        <f t="shared" si="19"/>
        <v>434.2</v>
      </c>
      <c r="M95" s="72">
        <f t="shared" si="19"/>
        <v>0</v>
      </c>
      <c r="N95" s="72">
        <f t="shared" si="19"/>
        <v>0</v>
      </c>
      <c r="O95" s="72">
        <f t="shared" si="19"/>
        <v>560.2</v>
      </c>
      <c r="P95" s="72">
        <f>P11+P17+P26+P34+P55+P63+P73+P41+P77+P48</f>
        <v>16092</v>
      </c>
      <c r="Q95" s="72">
        <f>Q11+Q17+Q26+Q34+Q55+Q63+Q73+Q41+Q77+Q48</f>
        <v>1531.6</v>
      </c>
      <c r="R95" s="72">
        <f t="shared" si="19"/>
        <v>0</v>
      </c>
      <c r="S95" s="72">
        <f t="shared" si="19"/>
        <v>25</v>
      </c>
      <c r="T95" s="72">
        <f t="shared" si="19"/>
        <v>0</v>
      </c>
      <c r="U95" s="72">
        <f t="shared" si="19"/>
        <v>0</v>
      </c>
      <c r="V95" s="72">
        <f t="shared" si="19"/>
        <v>0</v>
      </c>
      <c r="W95" s="72">
        <f>W11+W17+W26+W34+W55+W63+W73+W41+W77+W48</f>
        <v>360</v>
      </c>
      <c r="X95" s="72">
        <f>X11+X17+X26+X34+X55+X63+X73+X41+X77+X48</f>
        <v>102</v>
      </c>
      <c r="Y95" s="72">
        <f t="shared" si="19"/>
        <v>307.8</v>
      </c>
      <c r="Z95" s="72">
        <f t="shared" si="19"/>
        <v>1890.1000000000001</v>
      </c>
      <c r="AA95" s="72">
        <f t="shared" si="19"/>
        <v>0</v>
      </c>
      <c r="AB95" s="72">
        <f t="shared" si="19"/>
        <v>0</v>
      </c>
      <c r="AC95" s="72">
        <f>AC11+AC17+AC26+AC34+AC55+AC63+AC73+AC41+AC77+AC48</f>
        <v>27357.2</v>
      </c>
      <c r="AD95" s="72">
        <f>AD11+AD17+AD26+AD34+AD55+AD63+AD73+AD41+AD77+AD48</f>
        <v>5093.9</v>
      </c>
      <c r="AE95" s="72">
        <f>AE11+AE17+AE26+AE34+AE55+AE63+AE73+AE41+AE77+AE48</f>
        <v>2024.9</v>
      </c>
      <c r="AF95" s="72">
        <f t="shared" si="19"/>
        <v>0</v>
      </c>
      <c r="AG95" s="72">
        <f t="shared" si="19"/>
        <v>0</v>
      </c>
      <c r="AH95" s="72">
        <f t="shared" si="19"/>
        <v>0</v>
      </c>
      <c r="AI95" s="72">
        <f t="shared" si="19"/>
        <v>0</v>
      </c>
      <c r="AJ95" s="72">
        <f t="shared" si="19"/>
        <v>0</v>
      </c>
      <c r="AK95" s="72">
        <f t="shared" si="19"/>
        <v>0</v>
      </c>
      <c r="AL95" s="72">
        <f t="shared" si="19"/>
        <v>0</v>
      </c>
      <c r="AM95" s="72">
        <f t="shared" si="19"/>
        <v>0</v>
      </c>
      <c r="AN95" s="72"/>
      <c r="AO95" s="72">
        <f>SUM(D95:AM95)</f>
        <v>57210.8</v>
      </c>
      <c r="AP95" s="72">
        <f>B95+C95-AO95</f>
        <v>30666.059999999983</v>
      </c>
    </row>
    <row r="96" spans="1:42" s="18" customFormat="1" ht="15.75">
      <c r="A96" s="98" t="s">
        <v>2</v>
      </c>
      <c r="B96" s="97">
        <f aca="true" t="shared" si="20" ref="B96:AM96">B12+B20+B29+B36+B57+B66+B44+B80+B74+B53</f>
        <v>4570.000000000001</v>
      </c>
      <c r="C96" s="97">
        <f>C12+C20+C29+C36+C57+C66+C44+C80+C74+C53</f>
        <v>8774.5</v>
      </c>
      <c r="D96" s="72">
        <f t="shared" si="20"/>
        <v>0</v>
      </c>
      <c r="E96" s="72">
        <f t="shared" si="20"/>
        <v>687</v>
      </c>
      <c r="F96" s="72">
        <f t="shared" si="20"/>
        <v>0</v>
      </c>
      <c r="G96" s="72">
        <f t="shared" si="20"/>
        <v>0</v>
      </c>
      <c r="H96" s="72">
        <f>H12+H20+H29+H36+H57+H66+H44+H80+H74+H53</f>
        <v>51.9</v>
      </c>
      <c r="I96" s="72">
        <f>I12+I20+I29+I36+I57+I66+I44+I80+I74+I53</f>
        <v>271.20000000000005</v>
      </c>
      <c r="J96" s="72">
        <f>J12+J20+J29+J36+J57+J66+J44+J80+J74+J53</f>
        <v>37.7</v>
      </c>
      <c r="K96" s="72">
        <f t="shared" si="20"/>
        <v>137.1</v>
      </c>
      <c r="L96" s="72">
        <f t="shared" si="20"/>
        <v>53.60000000000001</v>
      </c>
      <c r="M96" s="72">
        <f t="shared" si="20"/>
        <v>0</v>
      </c>
      <c r="N96" s="72">
        <f t="shared" si="20"/>
        <v>0</v>
      </c>
      <c r="O96" s="72">
        <f t="shared" si="20"/>
        <v>53.6</v>
      </c>
      <c r="P96" s="72">
        <f>P12+P20+P29+P36+P57+P66+P44+P80+P74+P53</f>
        <v>174.5</v>
      </c>
      <c r="Q96" s="72">
        <f>Q12+Q20+Q29+Q36+Q57+Q66+Q44+Q80+Q74+Q53</f>
        <v>45.900000000000006</v>
      </c>
      <c r="R96" s="72">
        <f t="shared" si="20"/>
        <v>0.5</v>
      </c>
      <c r="S96" s="72">
        <f t="shared" si="20"/>
        <v>28</v>
      </c>
      <c r="T96" s="72">
        <f t="shared" si="20"/>
        <v>0</v>
      </c>
      <c r="U96" s="72">
        <f t="shared" si="20"/>
        <v>0</v>
      </c>
      <c r="V96" s="72">
        <f t="shared" si="20"/>
        <v>15.9</v>
      </c>
      <c r="W96" s="72">
        <f>W12+W20+W29+W36+W57+W66+W44+W80+W74+W53</f>
        <v>0.6</v>
      </c>
      <c r="X96" s="72">
        <f>X12+X20+X29+X36+X57+X66+X44+X80+X74+X53</f>
        <v>6.800000000000001</v>
      </c>
      <c r="Y96" s="72">
        <f t="shared" si="20"/>
        <v>4.8</v>
      </c>
      <c r="Z96" s="72">
        <f t="shared" si="20"/>
        <v>4.1</v>
      </c>
      <c r="AA96" s="72">
        <f t="shared" si="20"/>
        <v>0</v>
      </c>
      <c r="AB96" s="72">
        <f t="shared" si="20"/>
        <v>0</v>
      </c>
      <c r="AC96" s="72">
        <f t="shared" si="20"/>
        <v>0.3</v>
      </c>
      <c r="AD96" s="72">
        <f>AD12+AD20+AD29+AD36+AD57+AD66+AD44+AD80+AD74+AD53</f>
        <v>36.3</v>
      </c>
      <c r="AE96" s="72">
        <f>AE12+AE20+AE29+AE36+AE57+AE66+AE44+AE80+AE74+AE53</f>
        <v>5</v>
      </c>
      <c r="AF96" s="72">
        <f t="shared" si="20"/>
        <v>0</v>
      </c>
      <c r="AG96" s="72">
        <f t="shared" si="20"/>
        <v>0</v>
      </c>
      <c r="AH96" s="72">
        <f t="shared" si="20"/>
        <v>0</v>
      </c>
      <c r="AI96" s="72">
        <f t="shared" si="20"/>
        <v>0</v>
      </c>
      <c r="AJ96" s="72">
        <f t="shared" si="20"/>
        <v>0</v>
      </c>
      <c r="AK96" s="72">
        <f t="shared" si="20"/>
        <v>0</v>
      </c>
      <c r="AL96" s="72">
        <f t="shared" si="20"/>
        <v>0</v>
      </c>
      <c r="AM96" s="72">
        <f t="shared" si="20"/>
        <v>0</v>
      </c>
      <c r="AN96" s="72"/>
      <c r="AO96" s="72">
        <f>SUM(D96:AM96)</f>
        <v>1614.7999999999995</v>
      </c>
      <c r="AP96" s="72">
        <f>B96+C96-AO96</f>
        <v>11729.7</v>
      </c>
    </row>
    <row r="97" spans="1:42" s="18" customFormat="1" ht="15.75">
      <c r="A97" s="98" t="s">
        <v>3</v>
      </c>
      <c r="B97" s="97">
        <f aca="true" t="shared" si="21" ref="B97:AJ97">B18+B27+B42+B64+B78</f>
        <v>0</v>
      </c>
      <c r="C97" s="97">
        <f>C18+C27+C42+C64+C78</f>
        <v>14.100000000000001</v>
      </c>
      <c r="D97" s="72">
        <f t="shared" si="21"/>
        <v>0</v>
      </c>
      <c r="E97" s="72">
        <f t="shared" si="21"/>
        <v>0</v>
      </c>
      <c r="F97" s="72">
        <f t="shared" si="21"/>
        <v>0</v>
      </c>
      <c r="G97" s="72">
        <f t="shared" si="21"/>
        <v>0</v>
      </c>
      <c r="H97" s="72">
        <f>H18+H27+H42+H64+H78</f>
        <v>0</v>
      </c>
      <c r="I97" s="72">
        <f>I18+I27+I42+I64+I78</f>
        <v>0</v>
      </c>
      <c r="J97" s="72">
        <f>J18+J27+J42+J64+J78</f>
        <v>0</v>
      </c>
      <c r="K97" s="72">
        <f t="shared" si="21"/>
        <v>0</v>
      </c>
      <c r="L97" s="72">
        <f t="shared" si="21"/>
        <v>0</v>
      </c>
      <c r="M97" s="72">
        <f t="shared" si="21"/>
        <v>0</v>
      </c>
      <c r="N97" s="72">
        <f t="shared" si="21"/>
        <v>0</v>
      </c>
      <c r="O97" s="72">
        <f t="shared" si="21"/>
        <v>0</v>
      </c>
      <c r="P97" s="72">
        <f>P18+P27+P42+P64+P78</f>
        <v>0</v>
      </c>
      <c r="Q97" s="72">
        <f>Q18+Q27+Q42+Q64+Q78</f>
        <v>0</v>
      </c>
      <c r="R97" s="72">
        <f t="shared" si="21"/>
        <v>0</v>
      </c>
      <c r="S97" s="72">
        <f t="shared" si="21"/>
        <v>0</v>
      </c>
      <c r="T97" s="72">
        <f t="shared" si="21"/>
        <v>0</v>
      </c>
      <c r="U97" s="72">
        <f t="shared" si="21"/>
        <v>0</v>
      </c>
      <c r="V97" s="72">
        <f t="shared" si="21"/>
        <v>0</v>
      </c>
      <c r="W97" s="72">
        <f>W18+W27+W42+W64+W78</f>
        <v>0</v>
      </c>
      <c r="X97" s="72">
        <f>X18+X27+X42+X64+X78</f>
        <v>0</v>
      </c>
      <c r="Y97" s="72">
        <f t="shared" si="21"/>
        <v>0</v>
      </c>
      <c r="Z97" s="72">
        <f t="shared" si="21"/>
        <v>0</v>
      </c>
      <c r="AA97" s="72">
        <f t="shared" si="21"/>
        <v>0</v>
      </c>
      <c r="AB97" s="72">
        <f t="shared" si="21"/>
        <v>0</v>
      </c>
      <c r="AC97" s="72">
        <f t="shared" si="21"/>
        <v>0</v>
      </c>
      <c r="AD97" s="72">
        <f>AD18+AD27+AD42+AD64+AD78</f>
        <v>0</v>
      </c>
      <c r="AE97" s="72">
        <f>AE18+AE27+AE42+AE64+AE78</f>
        <v>0</v>
      </c>
      <c r="AF97" s="72">
        <f t="shared" si="21"/>
        <v>0</v>
      </c>
      <c r="AG97" s="72">
        <f t="shared" si="21"/>
        <v>0</v>
      </c>
      <c r="AH97" s="72">
        <f t="shared" si="21"/>
        <v>0</v>
      </c>
      <c r="AI97" s="72">
        <f t="shared" si="21"/>
        <v>0</v>
      </c>
      <c r="AJ97" s="72">
        <f t="shared" si="21"/>
        <v>0</v>
      </c>
      <c r="AK97" s="72">
        <f>AK18+AK27+AK42+AK64</f>
        <v>0</v>
      </c>
      <c r="AL97" s="72">
        <f>AL18+AL27+AL42+AL64</f>
        <v>0</v>
      </c>
      <c r="AM97" s="72">
        <f>AM18+AM27+AM42+AM64</f>
        <v>0</v>
      </c>
      <c r="AN97" s="72"/>
      <c r="AO97" s="72">
        <f>SUM(D97:AM97)</f>
        <v>0</v>
      </c>
      <c r="AP97" s="72">
        <f>B97+C97-AO97</f>
        <v>14.100000000000001</v>
      </c>
    </row>
    <row r="98" spans="1:42" s="18" customFormat="1" ht="15.75">
      <c r="A98" s="98" t="s">
        <v>1</v>
      </c>
      <c r="B98" s="97">
        <f aca="true" t="shared" si="22" ref="B98:AM98">B19+B28+B65+B35+B43+B56+B79</f>
        <v>1763.3999999999999</v>
      </c>
      <c r="C98" s="97">
        <f>C19+C28+C65+C35+C43+C56+C79</f>
        <v>2897.299999999998</v>
      </c>
      <c r="D98" s="72">
        <f t="shared" si="22"/>
        <v>0</v>
      </c>
      <c r="E98" s="72">
        <f t="shared" si="22"/>
        <v>0</v>
      </c>
      <c r="F98" s="72">
        <f t="shared" si="22"/>
        <v>0</v>
      </c>
      <c r="G98" s="72">
        <f t="shared" si="22"/>
        <v>0</v>
      </c>
      <c r="H98" s="72">
        <f>H19+H28+H65+H35+H43+H56+H79</f>
        <v>0</v>
      </c>
      <c r="I98" s="72">
        <f>I19+I28+I65+I35+I43+I56+I79</f>
        <v>2.7</v>
      </c>
      <c r="J98" s="72">
        <f>J19+J28+J65+J35+J43+J56+J79</f>
        <v>0</v>
      </c>
      <c r="K98" s="72">
        <f t="shared" si="22"/>
        <v>199.7</v>
      </c>
      <c r="L98" s="72">
        <f t="shared" si="22"/>
        <v>0</v>
      </c>
      <c r="M98" s="72">
        <f t="shared" si="22"/>
        <v>0</v>
      </c>
      <c r="N98" s="72">
        <f t="shared" si="22"/>
        <v>0</v>
      </c>
      <c r="O98" s="72">
        <f t="shared" si="22"/>
        <v>88.4</v>
      </c>
      <c r="P98" s="72">
        <f>P19+P28+P65+P35+P43+P56+P79</f>
        <v>0</v>
      </c>
      <c r="Q98" s="72">
        <f>Q19+Q28+Q65+Q35+Q43+Q56+Q79</f>
        <v>373.2</v>
      </c>
      <c r="R98" s="72">
        <f t="shared" si="22"/>
        <v>0</v>
      </c>
      <c r="S98" s="72">
        <f t="shared" si="22"/>
        <v>0</v>
      </c>
      <c r="T98" s="72">
        <f t="shared" si="22"/>
        <v>0</v>
      </c>
      <c r="U98" s="72">
        <f t="shared" si="22"/>
        <v>0</v>
      </c>
      <c r="V98" s="72">
        <f t="shared" si="22"/>
        <v>108.8</v>
      </c>
      <c r="W98" s="72">
        <f>W19+W28+W65+W35+W43+W56+W79</f>
        <v>0</v>
      </c>
      <c r="X98" s="72">
        <f>X19+X28+X65+X35+X43+X56+X79</f>
        <v>246.5</v>
      </c>
      <c r="Y98" s="72">
        <f t="shared" si="22"/>
        <v>0</v>
      </c>
      <c r="Z98" s="72">
        <f t="shared" si="22"/>
        <v>178.4</v>
      </c>
      <c r="AA98" s="72">
        <f t="shared" si="22"/>
        <v>0</v>
      </c>
      <c r="AB98" s="72">
        <f t="shared" si="22"/>
        <v>0</v>
      </c>
      <c r="AC98" s="72">
        <f t="shared" si="22"/>
        <v>81.5</v>
      </c>
      <c r="AD98" s="72">
        <f>AD19+AD28+AD65+AD35+AD43+AD56+AD79</f>
        <v>0</v>
      </c>
      <c r="AE98" s="72">
        <f>AE19+AE28+AE65+AE35+AE43+AE56+AE79</f>
        <v>36.6</v>
      </c>
      <c r="AF98" s="72">
        <f t="shared" si="22"/>
        <v>0</v>
      </c>
      <c r="AG98" s="72">
        <f t="shared" si="22"/>
        <v>0</v>
      </c>
      <c r="AH98" s="72">
        <f t="shared" si="22"/>
        <v>0</v>
      </c>
      <c r="AI98" s="72">
        <f t="shared" si="22"/>
        <v>0</v>
      </c>
      <c r="AJ98" s="72">
        <f t="shared" si="22"/>
        <v>0</v>
      </c>
      <c r="AK98" s="72">
        <f t="shared" si="22"/>
        <v>0</v>
      </c>
      <c r="AL98" s="72">
        <f t="shared" si="22"/>
        <v>0</v>
      </c>
      <c r="AM98" s="72">
        <f t="shared" si="22"/>
        <v>0</v>
      </c>
      <c r="AN98" s="72"/>
      <c r="AO98" s="72">
        <f>SUM(D98:AM98)</f>
        <v>1315.8</v>
      </c>
      <c r="AP98" s="72">
        <f>B98+C98-AO98</f>
        <v>3344.899999999998</v>
      </c>
    </row>
    <row r="99" spans="1:42" s="18" customFormat="1" ht="15.75">
      <c r="A99" s="98" t="s">
        <v>16</v>
      </c>
      <c r="B99" s="97">
        <f>B21+B30+B49+B37+B58+B13+B75+B67</f>
        <v>10873.699999999999</v>
      </c>
      <c r="C99" s="97">
        <f>C21+C30+C49+C37+C58+C13+C75+C67</f>
        <v>4761.200000000003</v>
      </c>
      <c r="D99" s="72">
        <f aca="true" t="shared" si="23" ref="D99:AG99">D21+D30+D49+D37+D58+D13+D75+D67</f>
        <v>0</v>
      </c>
      <c r="E99" s="72">
        <f t="shared" si="23"/>
        <v>131.7</v>
      </c>
      <c r="F99" s="72">
        <f t="shared" si="23"/>
        <v>0</v>
      </c>
      <c r="G99" s="72">
        <f t="shared" si="23"/>
        <v>0</v>
      </c>
      <c r="H99" s="72">
        <f>H21+H30+H49+H37+H58+H13+H75+H67</f>
        <v>1979</v>
      </c>
      <c r="I99" s="72">
        <f>I21+I30+I49+I37+I58+I13+I75+I67</f>
        <v>72</v>
      </c>
      <c r="J99" s="72">
        <f>J21+J30+J49+J37+J58+J13+J75+J67</f>
        <v>0</v>
      </c>
      <c r="K99" s="72">
        <f t="shared" si="23"/>
        <v>4</v>
      </c>
      <c r="L99" s="72">
        <f t="shared" si="23"/>
        <v>60</v>
      </c>
      <c r="M99" s="72">
        <f t="shared" si="23"/>
        <v>0</v>
      </c>
      <c r="N99" s="72">
        <f t="shared" si="23"/>
        <v>0</v>
      </c>
      <c r="O99" s="72">
        <f t="shared" si="23"/>
        <v>65.8</v>
      </c>
      <c r="P99" s="72">
        <f>P21+P30+P49+P37+P58+P13+P75+P67</f>
        <v>408.2</v>
      </c>
      <c r="Q99" s="72">
        <f>Q21+Q30+Q49+Q37+Q58+Q13+Q75+Q67</f>
        <v>41.8</v>
      </c>
      <c r="R99" s="72">
        <f t="shared" si="23"/>
        <v>37.1</v>
      </c>
      <c r="S99" s="72">
        <f t="shared" si="23"/>
        <v>121.7</v>
      </c>
      <c r="T99" s="72">
        <f t="shared" si="23"/>
        <v>0</v>
      </c>
      <c r="U99" s="72">
        <f t="shared" si="23"/>
        <v>0</v>
      </c>
      <c r="V99" s="72">
        <f t="shared" si="23"/>
        <v>1831.2</v>
      </c>
      <c r="W99" s="72">
        <f>W21+W30+W49+W37+W58+W13+W75+W67</f>
        <v>0</v>
      </c>
      <c r="X99" s="72">
        <f>X21+X30+X49+X37+X58+X13+X75+X67</f>
        <v>247</v>
      </c>
      <c r="Y99" s="72">
        <f t="shared" si="23"/>
        <v>1982.3</v>
      </c>
      <c r="Z99" s="72">
        <f t="shared" si="23"/>
        <v>15.5</v>
      </c>
      <c r="AA99" s="72">
        <f t="shared" si="23"/>
        <v>0</v>
      </c>
      <c r="AB99" s="72">
        <f t="shared" si="23"/>
        <v>0</v>
      </c>
      <c r="AC99" s="72">
        <f t="shared" si="23"/>
        <v>88.5</v>
      </c>
      <c r="AD99" s="72">
        <f>AD21+AD30+AD49+AD37+AD58+AD13+AD75+AD67</f>
        <v>5.8</v>
      </c>
      <c r="AE99" s="72">
        <f>AE21+AE30+AE49+AE37+AE58+AE13+AE75+AE67</f>
        <v>81.4</v>
      </c>
      <c r="AF99" s="72">
        <f t="shared" si="23"/>
        <v>0</v>
      </c>
      <c r="AG99" s="72">
        <f t="shared" si="23"/>
        <v>0</v>
      </c>
      <c r="AH99" s="72">
        <f aca="true" t="shared" si="24" ref="AH99:AM99">AH21+AH30+AH49+AH37+AH58+AH13+AH75</f>
        <v>0</v>
      </c>
      <c r="AI99" s="72">
        <f t="shared" si="24"/>
        <v>0</v>
      </c>
      <c r="AJ99" s="72">
        <f t="shared" si="24"/>
        <v>0</v>
      </c>
      <c r="AK99" s="72">
        <f t="shared" si="24"/>
        <v>0</v>
      </c>
      <c r="AL99" s="72">
        <f t="shared" si="24"/>
        <v>0</v>
      </c>
      <c r="AM99" s="72">
        <f t="shared" si="24"/>
        <v>0</v>
      </c>
      <c r="AN99" s="72"/>
      <c r="AO99" s="72">
        <f>SUM(D99:AM99)</f>
        <v>7173</v>
      </c>
      <c r="AP99" s="72">
        <f>B99+C99-AO99</f>
        <v>8461.900000000001</v>
      </c>
    </row>
    <row r="100" spans="1:42" ht="12.75">
      <c r="A100" s="137" t="s">
        <v>35</v>
      </c>
      <c r="B100" s="20">
        <f>B94-B95-B96-B97-B98-B99</f>
        <v>125637.50000000004</v>
      </c>
      <c r="C100" s="20">
        <f>C94-C95-C96-C97-C98-C99</f>
        <v>41550.74000000004</v>
      </c>
      <c r="D100" s="92">
        <f aca="true" t="shared" si="25" ref="D100:AM100">D94-D95-D96-D97-D98-D99</f>
        <v>6327.400000000001</v>
      </c>
      <c r="E100" s="92">
        <f t="shared" si="25"/>
        <v>48005.7</v>
      </c>
      <c r="F100" s="92">
        <f t="shared" si="25"/>
        <v>0</v>
      </c>
      <c r="G100" s="92">
        <f t="shared" si="25"/>
        <v>0</v>
      </c>
      <c r="H100" s="92">
        <f>H94-H95-H96-H97-H98-H99</f>
        <v>3373.000000000001</v>
      </c>
      <c r="I100" s="92">
        <f>I94-I95-I96-I97-I98-I99</f>
        <v>-4823.2</v>
      </c>
      <c r="J100" s="92">
        <f>J94-J95-J96-J97-J98-J99</f>
        <v>3004.9</v>
      </c>
      <c r="K100" s="92">
        <f t="shared" si="25"/>
        <v>2499.9</v>
      </c>
      <c r="L100" s="92">
        <f t="shared" si="25"/>
        <v>4232.399999999999</v>
      </c>
      <c r="M100" s="92">
        <f t="shared" si="25"/>
        <v>0</v>
      </c>
      <c r="N100" s="92">
        <f t="shared" si="25"/>
        <v>0</v>
      </c>
      <c r="O100" s="92">
        <f t="shared" si="25"/>
        <v>1072.3999999999999</v>
      </c>
      <c r="P100" s="92">
        <f>P94-P95-P96-P97-P98-P99</f>
        <v>17796.500000000004</v>
      </c>
      <c r="Q100" s="92">
        <f>Q94-Q95-Q96-Q97-Q98-Q99</f>
        <v>7468.700000000001</v>
      </c>
      <c r="R100" s="92">
        <f t="shared" si="25"/>
        <v>161.60000000000002</v>
      </c>
      <c r="S100" s="92">
        <f t="shared" si="25"/>
        <v>2875.9</v>
      </c>
      <c r="T100" s="92">
        <f t="shared" si="25"/>
        <v>0</v>
      </c>
      <c r="U100" s="92">
        <f t="shared" si="25"/>
        <v>0</v>
      </c>
      <c r="V100" s="92">
        <f t="shared" si="25"/>
        <v>908.9999999999998</v>
      </c>
      <c r="W100" s="92">
        <f>W94-W95-W96-W97-W98-W99</f>
        <v>2737</v>
      </c>
      <c r="X100" s="92">
        <f>X94-X95-X96-X97-X98-X99</f>
        <v>2273.3999999999996</v>
      </c>
      <c r="Y100" s="92">
        <f t="shared" si="25"/>
        <v>1025.6999999999996</v>
      </c>
      <c r="Z100" s="92">
        <f t="shared" si="25"/>
        <v>15471.800000000001</v>
      </c>
      <c r="AA100" s="92">
        <f t="shared" si="25"/>
        <v>0</v>
      </c>
      <c r="AB100" s="92">
        <f t="shared" si="25"/>
        <v>0</v>
      </c>
      <c r="AC100" s="92">
        <f t="shared" si="25"/>
        <v>4148.400000000001</v>
      </c>
      <c r="AD100" s="92">
        <f>AD94-AD95-AD96-AD97-AD98-AD99</f>
        <v>775.6000000000008</v>
      </c>
      <c r="AE100" s="92">
        <f>AE94-AE95-AE96-AE97-AE98-AE99</f>
        <v>238.49999999999997</v>
      </c>
      <c r="AF100" s="92">
        <f t="shared" si="25"/>
        <v>1887.5</v>
      </c>
      <c r="AG100" s="92">
        <f t="shared" si="25"/>
        <v>0</v>
      </c>
      <c r="AH100" s="92">
        <f t="shared" si="25"/>
        <v>0</v>
      </c>
      <c r="AI100" s="92">
        <f t="shared" si="25"/>
        <v>0</v>
      </c>
      <c r="AJ100" s="92">
        <f t="shared" si="25"/>
        <v>0</v>
      </c>
      <c r="AK100" s="92">
        <f t="shared" si="25"/>
        <v>0</v>
      </c>
      <c r="AL100" s="92">
        <f t="shared" si="25"/>
        <v>0</v>
      </c>
      <c r="AM100" s="92">
        <f t="shared" si="25"/>
        <v>0</v>
      </c>
      <c r="AN100" s="92"/>
      <c r="AO100" s="92">
        <f>AO94-AO95-AO96-AO97-AO98-AO99</f>
        <v>121462.1</v>
      </c>
      <c r="AP100" s="92">
        <f>AP94-AP95-AP96-AP97-AP98-AP99</f>
        <v>45726.14000000005</v>
      </c>
    </row>
    <row r="101" spans="1:42" s="32" customFormat="1" ht="15.75">
      <c r="A101" s="30"/>
      <c r="B101" s="31"/>
      <c r="C101" s="31"/>
      <c r="R101" s="93"/>
      <c r="AK101" s="31"/>
      <c r="AL101" s="31"/>
      <c r="AM101" s="31"/>
      <c r="AN101" s="31"/>
      <c r="AO101" s="31"/>
      <c r="AP101" s="31"/>
    </row>
    <row r="102" spans="1:42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94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16"/>
      <c r="AJ102" s="16"/>
      <c r="AK102" s="16"/>
      <c r="AL102" s="16">
        <f>AL9-AL16-AL25</f>
        <v>0</v>
      </c>
      <c r="AM102" s="16">
        <f>AM9-AM16-AM25</f>
        <v>0</v>
      </c>
      <c r="AN102" s="16"/>
      <c r="AO102" s="16"/>
      <c r="AP102" s="16"/>
    </row>
    <row r="103" spans="1:42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95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3"/>
      <c r="AL103" s="43"/>
      <c r="AM103" s="43"/>
      <c r="AN103" s="43"/>
      <c r="AO103" s="43"/>
      <c r="AP103" s="43"/>
    </row>
    <row r="104" spans="1:42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0"/>
      <c r="N104" s="2"/>
      <c r="O104" s="2"/>
      <c r="P104" s="2"/>
      <c r="Q104" s="2"/>
      <c r="R104" s="20"/>
      <c r="S104" s="2"/>
      <c r="T104" s="2"/>
      <c r="U104" s="2"/>
      <c r="V104" s="2"/>
      <c r="W104" s="2"/>
      <c r="X104" s="2"/>
      <c r="Y104" s="2"/>
      <c r="Z104" s="20"/>
      <c r="AA104" s="20"/>
      <c r="AB104" s="2"/>
      <c r="AC104" s="2"/>
      <c r="AD104" s="2"/>
      <c r="AE104" s="2"/>
      <c r="AF104" s="2"/>
      <c r="AG104" s="20"/>
      <c r="AH104" s="20"/>
      <c r="AI104" s="20"/>
      <c r="AJ104" s="20"/>
      <c r="AK104" s="2"/>
      <c r="AL104" s="2"/>
      <c r="AM104" s="2"/>
      <c r="AN104" s="2"/>
      <c r="AO104" s="2"/>
      <c r="AP104" s="2"/>
    </row>
    <row r="105" spans="1:42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0"/>
      <c r="N105" s="2"/>
      <c r="O105" s="2"/>
      <c r="P105" s="2"/>
      <c r="Q105" s="2"/>
      <c r="R105" s="20"/>
      <c r="S105" s="2"/>
      <c r="T105" s="2"/>
      <c r="U105" s="2"/>
      <c r="V105" s="2"/>
      <c r="W105" s="2"/>
      <c r="X105" s="2"/>
      <c r="Y105" s="2"/>
      <c r="Z105" s="20"/>
      <c r="AA105" s="20"/>
      <c r="AB105" s="2"/>
      <c r="AC105" s="2"/>
      <c r="AD105" s="2"/>
      <c r="AE105" s="2"/>
      <c r="AF105" s="2"/>
      <c r="AG105" s="20"/>
      <c r="AH105" s="20"/>
      <c r="AI105" s="20"/>
      <c r="AJ105" s="20"/>
      <c r="AK105" s="2"/>
      <c r="AL105" s="2"/>
      <c r="AM105" s="2"/>
      <c r="AN105" s="2"/>
      <c r="AO105" s="2"/>
      <c r="AP105" s="2"/>
    </row>
    <row r="106" spans="2:42" ht="12.7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21"/>
      <c r="N106" s="6"/>
      <c r="O106" s="6"/>
      <c r="P106" s="6"/>
      <c r="Q106" s="6"/>
      <c r="R106" s="21"/>
      <c r="S106" s="6"/>
      <c r="T106" s="6"/>
      <c r="U106" s="6"/>
      <c r="V106" s="6"/>
      <c r="W106" s="6"/>
      <c r="X106" s="6"/>
      <c r="Y106" s="6"/>
      <c r="Z106" s="21"/>
      <c r="AA106" s="21"/>
      <c r="AB106" s="6"/>
      <c r="AC106" s="6"/>
      <c r="AD106" s="6"/>
      <c r="AE106" s="6"/>
      <c r="AF106" s="6"/>
      <c r="AG106" s="21"/>
      <c r="AH106" s="21"/>
      <c r="AI106" s="21"/>
      <c r="AJ106" s="21"/>
      <c r="AK106" s="6"/>
      <c r="AL106" s="6"/>
      <c r="AM106" s="6"/>
      <c r="AN106" s="6"/>
      <c r="AO106" s="6"/>
      <c r="AP106" s="6"/>
    </row>
    <row r="107" spans="2:42" ht="12.7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21"/>
      <c r="N107" s="6"/>
      <c r="O107" s="6"/>
      <c r="P107" s="6"/>
      <c r="Q107" s="6"/>
      <c r="R107" s="21"/>
      <c r="S107" s="6"/>
      <c r="T107" s="6"/>
      <c r="U107" s="6"/>
      <c r="V107" s="6"/>
      <c r="W107" s="6"/>
      <c r="X107" s="6"/>
      <c r="Y107" s="6"/>
      <c r="Z107" s="21"/>
      <c r="AA107" s="21"/>
      <c r="AB107" s="6"/>
      <c r="AC107" s="6"/>
      <c r="AD107" s="6"/>
      <c r="AE107" s="6"/>
      <c r="AF107" s="6"/>
      <c r="AG107" s="21"/>
      <c r="AH107" s="21"/>
      <c r="AI107" s="21"/>
      <c r="AJ107" s="21"/>
      <c r="AK107" s="6"/>
      <c r="AL107" s="6"/>
      <c r="AM107" s="6"/>
      <c r="AN107" s="6"/>
      <c r="AO107" s="6"/>
      <c r="AP107" s="6"/>
    </row>
    <row r="108" spans="2:42" ht="12.7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21"/>
      <c r="N108" s="6"/>
      <c r="O108" s="6"/>
      <c r="P108" s="6"/>
      <c r="Q108" s="6"/>
      <c r="R108" s="21"/>
      <c r="S108" s="6"/>
      <c r="T108" s="6"/>
      <c r="U108" s="6"/>
      <c r="V108" s="6"/>
      <c r="W108" s="6"/>
      <c r="X108" s="6"/>
      <c r="Y108" s="6"/>
      <c r="Z108" s="21"/>
      <c r="AA108" s="21"/>
      <c r="AB108" s="6"/>
      <c r="AC108" s="6"/>
      <c r="AD108" s="6"/>
      <c r="AE108" s="6"/>
      <c r="AF108" s="6"/>
      <c r="AG108" s="21"/>
      <c r="AH108" s="21"/>
      <c r="AI108" s="21"/>
      <c r="AJ108" s="21"/>
      <c r="AK108" s="6"/>
      <c r="AL108" s="6"/>
      <c r="AM108" s="6"/>
      <c r="AN108" s="6"/>
      <c r="AO108" s="6"/>
      <c r="AP108" s="6"/>
    </row>
    <row r="109" spans="2:42" ht="12.7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21"/>
      <c r="N109" s="6"/>
      <c r="O109" s="6"/>
      <c r="P109" s="6"/>
      <c r="Q109" s="6"/>
      <c r="R109" s="21"/>
      <c r="S109" s="6"/>
      <c r="T109" s="6"/>
      <c r="U109" s="6"/>
      <c r="V109" s="6"/>
      <c r="W109" s="6"/>
      <c r="X109" s="6"/>
      <c r="Y109" s="6"/>
      <c r="Z109" s="21"/>
      <c r="AA109" s="21"/>
      <c r="AB109" s="6"/>
      <c r="AC109" s="6"/>
      <c r="AD109" s="6"/>
      <c r="AE109" s="6"/>
      <c r="AF109" s="6"/>
      <c r="AG109" s="21"/>
      <c r="AH109" s="21"/>
      <c r="AI109" s="21"/>
      <c r="AJ109" s="21"/>
      <c r="AK109" s="6"/>
      <c r="AL109" s="6"/>
      <c r="AM109" s="6"/>
      <c r="AN109" s="6"/>
      <c r="AO109" s="6"/>
      <c r="AP109" s="6"/>
    </row>
    <row r="110" spans="2:42" ht="12.7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21"/>
      <c r="N110" s="6"/>
      <c r="O110" s="6"/>
      <c r="P110" s="6"/>
      <c r="Q110" s="6"/>
      <c r="R110" s="21"/>
      <c r="S110" s="6"/>
      <c r="T110" s="6"/>
      <c r="U110" s="6"/>
      <c r="V110" s="6"/>
      <c r="W110" s="6"/>
      <c r="X110" s="6"/>
      <c r="Y110" s="6"/>
      <c r="Z110" s="21"/>
      <c r="AA110" s="21"/>
      <c r="AB110" s="6"/>
      <c r="AC110" s="6"/>
      <c r="AD110" s="6"/>
      <c r="AE110" s="6"/>
      <c r="AF110" s="6"/>
      <c r="AG110" s="21"/>
      <c r="AH110" s="21"/>
      <c r="AI110" s="21"/>
      <c r="AJ110" s="21"/>
      <c r="AK110" s="6"/>
      <c r="AL110" s="6"/>
      <c r="AM110" s="6"/>
      <c r="AN110" s="6"/>
      <c r="AO110" s="6"/>
      <c r="AP110" s="6"/>
    </row>
    <row r="111" spans="2:42" ht="12.7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21"/>
      <c r="N111" s="6"/>
      <c r="O111" s="6"/>
      <c r="P111" s="6"/>
      <c r="Q111" s="6"/>
      <c r="R111" s="21"/>
      <c r="S111" s="6"/>
      <c r="T111" s="6"/>
      <c r="U111" s="6"/>
      <c r="V111" s="6"/>
      <c r="W111" s="6"/>
      <c r="X111" s="6"/>
      <c r="Y111" s="6"/>
      <c r="Z111" s="21"/>
      <c r="AA111" s="21"/>
      <c r="AB111" s="6"/>
      <c r="AC111" s="6"/>
      <c r="AD111" s="6"/>
      <c r="AE111" s="6"/>
      <c r="AF111" s="6"/>
      <c r="AG111" s="21"/>
      <c r="AH111" s="21"/>
      <c r="AI111" s="21"/>
      <c r="AJ111" s="21"/>
      <c r="AK111" s="6"/>
      <c r="AL111" s="6"/>
      <c r="AM111" s="6"/>
      <c r="AN111" s="6"/>
      <c r="AO111" s="6"/>
      <c r="AP111" s="6"/>
    </row>
    <row r="112" spans="2:42" ht="12.7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21"/>
      <c r="N112" s="6"/>
      <c r="O112" s="6"/>
      <c r="P112" s="6"/>
      <c r="Q112" s="6"/>
      <c r="R112" s="21"/>
      <c r="S112" s="6"/>
      <c r="T112" s="6"/>
      <c r="U112" s="6"/>
      <c r="V112" s="6"/>
      <c r="W112" s="6"/>
      <c r="X112" s="6"/>
      <c r="Y112" s="6"/>
      <c r="Z112" s="21"/>
      <c r="AA112" s="21"/>
      <c r="AB112" s="6"/>
      <c r="AC112" s="6"/>
      <c r="AD112" s="6"/>
      <c r="AE112" s="6"/>
      <c r="AF112" s="6"/>
      <c r="AG112" s="21"/>
      <c r="AH112" s="21"/>
      <c r="AI112" s="21"/>
      <c r="AJ112" s="21"/>
      <c r="AK112" s="6"/>
      <c r="AL112" s="6"/>
      <c r="AM112" s="6"/>
      <c r="AN112" s="6"/>
      <c r="AO112" s="6"/>
      <c r="AP112" s="6"/>
    </row>
    <row r="113" spans="2:42" ht="12.7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21"/>
      <c r="N113" s="6"/>
      <c r="O113" s="6"/>
      <c r="P113" s="6"/>
      <c r="Q113" s="6"/>
      <c r="R113" s="21"/>
      <c r="S113" s="6"/>
      <c r="T113" s="6"/>
      <c r="U113" s="6"/>
      <c r="V113" s="6"/>
      <c r="W113" s="6"/>
      <c r="X113" s="6"/>
      <c r="Y113" s="6"/>
      <c r="Z113" s="21"/>
      <c r="AA113" s="21"/>
      <c r="AB113" s="6"/>
      <c r="AC113" s="6"/>
      <c r="AD113" s="6"/>
      <c r="AE113" s="6"/>
      <c r="AF113" s="6"/>
      <c r="AG113" s="21"/>
      <c r="AH113" s="21"/>
      <c r="AI113" s="21"/>
      <c r="AJ113" s="21"/>
      <c r="AK113" s="6"/>
      <c r="AL113" s="6"/>
      <c r="AM113" s="6"/>
      <c r="AN113" s="6"/>
      <c r="AO113" s="6"/>
      <c r="AP113" s="6"/>
    </row>
    <row r="114" spans="2:42" ht="12.7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21"/>
      <c r="N114" s="6"/>
      <c r="O114" s="6"/>
      <c r="P114" s="6"/>
      <c r="Q114" s="6"/>
      <c r="R114" s="21"/>
      <c r="S114" s="6"/>
      <c r="T114" s="6"/>
      <c r="U114" s="6"/>
      <c r="V114" s="6"/>
      <c r="W114" s="6"/>
      <c r="X114" s="6"/>
      <c r="Y114" s="6"/>
      <c r="Z114" s="21"/>
      <c r="AA114" s="21"/>
      <c r="AB114" s="6"/>
      <c r="AC114" s="6"/>
      <c r="AD114" s="6"/>
      <c r="AE114" s="6"/>
      <c r="AF114" s="6"/>
      <c r="AG114" s="21"/>
      <c r="AH114" s="21"/>
      <c r="AI114" s="21"/>
      <c r="AJ114" s="21"/>
      <c r="AK114" s="6"/>
      <c r="AL114" s="6"/>
      <c r="AM114" s="6"/>
      <c r="AN114" s="6"/>
      <c r="AO114" s="6"/>
      <c r="AP114" s="6"/>
    </row>
    <row r="115" spans="2:42" ht="12.7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21"/>
      <c r="N115" s="6"/>
      <c r="O115" s="6"/>
      <c r="P115" s="6"/>
      <c r="Q115" s="6"/>
      <c r="R115" s="21"/>
      <c r="S115" s="6"/>
      <c r="T115" s="6"/>
      <c r="U115" s="6"/>
      <c r="V115" s="6"/>
      <c r="W115" s="6"/>
      <c r="X115" s="6"/>
      <c r="Y115" s="6"/>
      <c r="Z115" s="21"/>
      <c r="AA115" s="21"/>
      <c r="AB115" s="6"/>
      <c r="AC115" s="6"/>
      <c r="AD115" s="6"/>
      <c r="AE115" s="6"/>
      <c r="AF115" s="6"/>
      <c r="AG115" s="21"/>
      <c r="AH115" s="21"/>
      <c r="AI115" s="21"/>
      <c r="AJ115" s="21"/>
      <c r="AK115" s="6"/>
      <c r="AL115" s="6"/>
      <c r="AM115" s="6"/>
      <c r="AN115" s="6"/>
      <c r="AO115" s="6"/>
      <c r="AP115" s="6"/>
    </row>
    <row r="116" spans="2:42" ht="12.7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21"/>
      <c r="N116" s="6"/>
      <c r="O116" s="6"/>
      <c r="P116" s="6"/>
      <c r="Q116" s="6"/>
      <c r="R116" s="21"/>
      <c r="S116" s="6"/>
      <c r="T116" s="6"/>
      <c r="U116" s="6"/>
      <c r="V116" s="6"/>
      <c r="W116" s="6"/>
      <c r="X116" s="6"/>
      <c r="Y116" s="6"/>
      <c r="Z116" s="21"/>
      <c r="AA116" s="21"/>
      <c r="AB116" s="6"/>
      <c r="AC116" s="6"/>
      <c r="AD116" s="6"/>
      <c r="AE116" s="6"/>
      <c r="AF116" s="6"/>
      <c r="AG116" s="21"/>
      <c r="AH116" s="21"/>
      <c r="AI116" s="21"/>
      <c r="AJ116" s="21"/>
      <c r="AK116" s="6"/>
      <c r="AL116" s="6"/>
      <c r="AM116" s="6"/>
      <c r="AN116" s="6"/>
      <c r="AO116" s="6"/>
      <c r="AP116" s="6"/>
    </row>
    <row r="117" spans="2:42" ht="12.7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21"/>
      <c r="N117" s="6"/>
      <c r="O117" s="6"/>
      <c r="P117" s="6"/>
      <c r="Q117" s="6"/>
      <c r="R117" s="21"/>
      <c r="S117" s="6"/>
      <c r="T117" s="6"/>
      <c r="U117" s="6"/>
      <c r="V117" s="6"/>
      <c r="W117" s="6"/>
      <c r="X117" s="6"/>
      <c r="Y117" s="6"/>
      <c r="Z117" s="21"/>
      <c r="AA117" s="21"/>
      <c r="AB117" s="6"/>
      <c r="AC117" s="6"/>
      <c r="AD117" s="6"/>
      <c r="AE117" s="6"/>
      <c r="AF117" s="6"/>
      <c r="AG117" s="21"/>
      <c r="AH117" s="21"/>
      <c r="AI117" s="21"/>
      <c r="AJ117" s="21"/>
      <c r="AK117" s="6"/>
      <c r="AL117" s="6"/>
      <c r="AM117" s="6"/>
      <c r="AN117" s="6"/>
      <c r="AO117" s="6"/>
      <c r="AP117" s="6"/>
    </row>
    <row r="118" spans="2:42" ht="12.7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21"/>
      <c r="N118" s="6"/>
      <c r="O118" s="6"/>
      <c r="P118" s="6"/>
      <c r="Q118" s="6"/>
      <c r="R118" s="21"/>
      <c r="S118" s="6"/>
      <c r="T118" s="6"/>
      <c r="U118" s="6"/>
      <c r="V118" s="6"/>
      <c r="W118" s="6"/>
      <c r="X118" s="6"/>
      <c r="Y118" s="6"/>
      <c r="Z118" s="21"/>
      <c r="AA118" s="21"/>
      <c r="AB118" s="6"/>
      <c r="AC118" s="6"/>
      <c r="AD118" s="6"/>
      <c r="AE118" s="6"/>
      <c r="AF118" s="6"/>
      <c r="AG118" s="21"/>
      <c r="AH118" s="21"/>
      <c r="AI118" s="21"/>
      <c r="AJ118" s="21"/>
      <c r="AK118" s="6"/>
      <c r="AL118" s="6"/>
      <c r="AM118" s="6"/>
      <c r="AN118" s="6"/>
      <c r="AO118" s="6"/>
      <c r="AP118" s="6"/>
    </row>
    <row r="119" spans="2:42" ht="12.7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21"/>
      <c r="N119" s="6"/>
      <c r="O119" s="6"/>
      <c r="P119" s="6"/>
      <c r="Q119" s="6"/>
      <c r="R119" s="21"/>
      <c r="S119" s="6"/>
      <c r="T119" s="6"/>
      <c r="U119" s="6"/>
      <c r="V119" s="6"/>
      <c r="W119" s="6"/>
      <c r="X119" s="6"/>
      <c r="Y119" s="6"/>
      <c r="Z119" s="21"/>
      <c r="AA119" s="21"/>
      <c r="AB119" s="6"/>
      <c r="AC119" s="6"/>
      <c r="AD119" s="6"/>
      <c r="AE119" s="6"/>
      <c r="AF119" s="6"/>
      <c r="AG119" s="21"/>
      <c r="AH119" s="21"/>
      <c r="AI119" s="21"/>
      <c r="AJ119" s="21"/>
      <c r="AK119" s="6"/>
      <c r="AL119" s="6"/>
      <c r="AM119" s="6"/>
      <c r="AN119" s="6"/>
      <c r="AO119" s="6"/>
      <c r="AP119" s="6"/>
    </row>
    <row r="120" spans="2:42" ht="12.7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21"/>
      <c r="N120" s="6"/>
      <c r="O120" s="6"/>
      <c r="P120" s="6"/>
      <c r="Q120" s="6"/>
      <c r="R120" s="21"/>
      <c r="S120" s="6"/>
      <c r="T120" s="6"/>
      <c r="U120" s="6"/>
      <c r="V120" s="6"/>
      <c r="W120" s="6"/>
      <c r="X120" s="6"/>
      <c r="Y120" s="6"/>
      <c r="Z120" s="21"/>
      <c r="AA120" s="21"/>
      <c r="AB120" s="6"/>
      <c r="AC120" s="6"/>
      <c r="AD120" s="6"/>
      <c r="AE120" s="6"/>
      <c r="AF120" s="6"/>
      <c r="AG120" s="21"/>
      <c r="AH120" s="21"/>
      <c r="AI120" s="21"/>
      <c r="AJ120" s="21"/>
      <c r="AK120" s="6"/>
      <c r="AL120" s="6"/>
      <c r="AM120" s="6"/>
      <c r="AN120" s="6"/>
      <c r="AO120" s="6"/>
      <c r="AP120" s="6"/>
    </row>
    <row r="121" spans="2:42" ht="12.7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21"/>
      <c r="N121" s="6"/>
      <c r="O121" s="6"/>
      <c r="P121" s="6"/>
      <c r="Q121" s="6"/>
      <c r="R121" s="21"/>
      <c r="S121" s="6"/>
      <c r="T121" s="6"/>
      <c r="U121" s="6"/>
      <c r="V121" s="6"/>
      <c r="W121" s="6"/>
      <c r="X121" s="6"/>
      <c r="Y121" s="6"/>
      <c r="Z121" s="21"/>
      <c r="AA121" s="21"/>
      <c r="AB121" s="6"/>
      <c r="AC121" s="6"/>
      <c r="AD121" s="6"/>
      <c r="AE121" s="6"/>
      <c r="AF121" s="6"/>
      <c r="AG121" s="21"/>
      <c r="AH121" s="21"/>
      <c r="AI121" s="21"/>
      <c r="AJ121" s="21"/>
      <c r="AK121" s="6"/>
      <c r="AL121" s="6"/>
      <c r="AM121" s="6"/>
      <c r="AN121" s="6"/>
      <c r="AO121" s="6"/>
      <c r="AP121" s="6"/>
    </row>
    <row r="122" spans="2:42" ht="12.7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21"/>
      <c r="N122" s="6"/>
      <c r="O122" s="6"/>
      <c r="P122" s="6"/>
      <c r="Q122" s="6"/>
      <c r="R122" s="21"/>
      <c r="S122" s="6"/>
      <c r="T122" s="6"/>
      <c r="U122" s="6"/>
      <c r="V122" s="6"/>
      <c r="W122" s="6"/>
      <c r="X122" s="6"/>
      <c r="Y122" s="6"/>
      <c r="Z122" s="21"/>
      <c r="AA122" s="21"/>
      <c r="AB122" s="6"/>
      <c r="AC122" s="6"/>
      <c r="AD122" s="6"/>
      <c r="AE122" s="6"/>
      <c r="AF122" s="6"/>
      <c r="AG122" s="21"/>
      <c r="AH122" s="21"/>
      <c r="AI122" s="21"/>
      <c r="AJ122" s="21"/>
      <c r="AK122" s="6"/>
      <c r="AL122" s="6"/>
      <c r="AM122" s="6"/>
      <c r="AN122" s="6"/>
      <c r="AO122" s="6"/>
      <c r="AP122" s="6"/>
    </row>
    <row r="123" spans="2:42" ht="12.7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21"/>
      <c r="N123" s="6"/>
      <c r="O123" s="6"/>
      <c r="P123" s="6"/>
      <c r="Q123" s="6"/>
      <c r="R123" s="21"/>
      <c r="S123" s="6"/>
      <c r="T123" s="6"/>
      <c r="U123" s="6"/>
      <c r="V123" s="6"/>
      <c r="W123" s="6"/>
      <c r="X123" s="6"/>
      <c r="Y123" s="6"/>
      <c r="Z123" s="21"/>
      <c r="AA123" s="21"/>
      <c r="AB123" s="6"/>
      <c r="AC123" s="6"/>
      <c r="AD123" s="6"/>
      <c r="AE123" s="6"/>
      <c r="AF123" s="6"/>
      <c r="AG123" s="21"/>
      <c r="AH123" s="21"/>
      <c r="AI123" s="21"/>
      <c r="AJ123" s="21"/>
      <c r="AK123" s="6"/>
      <c r="AL123" s="6"/>
      <c r="AM123" s="6"/>
      <c r="AN123" s="6"/>
      <c r="AO123" s="6"/>
      <c r="AP123" s="6"/>
    </row>
    <row r="124" spans="2:42" ht="12.7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21"/>
      <c r="N124" s="6"/>
      <c r="O124" s="6"/>
      <c r="P124" s="6"/>
      <c r="Q124" s="6"/>
      <c r="R124" s="21"/>
      <c r="S124" s="6"/>
      <c r="T124" s="6"/>
      <c r="U124" s="6"/>
      <c r="V124" s="6"/>
      <c r="W124" s="6"/>
      <c r="X124" s="6"/>
      <c r="Y124" s="6"/>
      <c r="Z124" s="21"/>
      <c r="AA124" s="21"/>
      <c r="AB124" s="6"/>
      <c r="AC124" s="6"/>
      <c r="AD124" s="6"/>
      <c r="AE124" s="6"/>
      <c r="AF124" s="6"/>
      <c r="AG124" s="21"/>
      <c r="AH124" s="21"/>
      <c r="AI124" s="21"/>
      <c r="AJ124" s="21"/>
      <c r="AK124" s="6"/>
      <c r="AL124" s="6"/>
      <c r="AM124" s="6"/>
      <c r="AN124" s="6"/>
      <c r="AO124" s="6"/>
      <c r="AP124" s="6"/>
    </row>
    <row r="125" spans="2:42" ht="12.7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21"/>
      <c r="N125" s="6"/>
      <c r="O125" s="6"/>
      <c r="P125" s="6"/>
      <c r="Q125" s="6"/>
      <c r="R125" s="21"/>
      <c r="S125" s="6"/>
      <c r="T125" s="6"/>
      <c r="U125" s="6"/>
      <c r="V125" s="6"/>
      <c r="W125" s="6"/>
      <c r="X125" s="6"/>
      <c r="Y125" s="6"/>
      <c r="Z125" s="21"/>
      <c r="AA125" s="21"/>
      <c r="AB125" s="6"/>
      <c r="AC125" s="6"/>
      <c r="AD125" s="6"/>
      <c r="AE125" s="6"/>
      <c r="AF125" s="6"/>
      <c r="AG125" s="21"/>
      <c r="AH125" s="21"/>
      <c r="AI125" s="21"/>
      <c r="AJ125" s="21"/>
      <c r="AK125" s="6"/>
      <c r="AL125" s="6"/>
      <c r="AM125" s="6"/>
      <c r="AN125" s="6"/>
      <c r="AO125" s="6"/>
      <c r="AP125" s="6"/>
    </row>
    <row r="126" spans="2:42" ht="12.7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21"/>
      <c r="N126" s="6"/>
      <c r="O126" s="6"/>
      <c r="P126" s="6"/>
      <c r="Q126" s="6"/>
      <c r="R126" s="21"/>
      <c r="S126" s="6"/>
      <c r="T126" s="6"/>
      <c r="U126" s="6"/>
      <c r="V126" s="6"/>
      <c r="W126" s="6"/>
      <c r="X126" s="6"/>
      <c r="Y126" s="6"/>
      <c r="Z126" s="21"/>
      <c r="AA126" s="21"/>
      <c r="AB126" s="6"/>
      <c r="AC126" s="6"/>
      <c r="AD126" s="6"/>
      <c r="AE126" s="6"/>
      <c r="AF126" s="6"/>
      <c r="AG126" s="21"/>
      <c r="AH126" s="21"/>
      <c r="AI126" s="21"/>
      <c r="AJ126" s="21"/>
      <c r="AK126" s="6"/>
      <c r="AL126" s="6"/>
      <c r="AM126" s="6"/>
      <c r="AN126" s="6"/>
      <c r="AO126" s="6"/>
      <c r="AP126" s="6"/>
    </row>
    <row r="127" spans="2:42" ht="12.7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21"/>
      <c r="N127" s="6"/>
      <c r="O127" s="6"/>
      <c r="P127" s="6"/>
      <c r="Q127" s="6"/>
      <c r="R127" s="21"/>
      <c r="S127" s="6"/>
      <c r="T127" s="6"/>
      <c r="U127" s="6"/>
      <c r="V127" s="6"/>
      <c r="W127" s="6"/>
      <c r="X127" s="6"/>
      <c r="Y127" s="6"/>
      <c r="Z127" s="21"/>
      <c r="AA127" s="21"/>
      <c r="AB127" s="6"/>
      <c r="AC127" s="6"/>
      <c r="AD127" s="6"/>
      <c r="AE127" s="6"/>
      <c r="AF127" s="6"/>
      <c r="AG127" s="21"/>
      <c r="AH127" s="21"/>
      <c r="AI127" s="21"/>
      <c r="AJ127" s="21"/>
      <c r="AK127" s="6"/>
      <c r="AL127" s="6"/>
      <c r="AM127" s="6"/>
      <c r="AN127" s="6"/>
      <c r="AO127" s="6"/>
      <c r="AP127" s="6"/>
    </row>
    <row r="128" spans="2:42" ht="12.75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21"/>
      <c r="N128" s="6"/>
      <c r="O128" s="6"/>
      <c r="P128" s="6"/>
      <c r="Q128" s="6"/>
      <c r="R128" s="21"/>
      <c r="S128" s="6"/>
      <c r="T128" s="6"/>
      <c r="U128" s="6"/>
      <c r="V128" s="6"/>
      <c r="W128" s="6"/>
      <c r="X128" s="6"/>
      <c r="Y128" s="6"/>
      <c r="Z128" s="21"/>
      <c r="AA128" s="21"/>
      <c r="AB128" s="6"/>
      <c r="AC128" s="6"/>
      <c r="AD128" s="6"/>
      <c r="AE128" s="6"/>
      <c r="AF128" s="6"/>
      <c r="AG128" s="21"/>
      <c r="AH128" s="21"/>
      <c r="AI128" s="21"/>
      <c r="AJ128" s="21"/>
      <c r="AK128" s="6"/>
      <c r="AL128" s="6"/>
      <c r="AM128" s="6"/>
      <c r="AN128" s="6"/>
      <c r="AO128" s="6"/>
      <c r="AP128" s="6"/>
    </row>
    <row r="129" spans="2:42" ht="12.7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21"/>
      <c r="N129" s="6"/>
      <c r="O129" s="6"/>
      <c r="P129" s="6"/>
      <c r="Q129" s="6"/>
      <c r="R129" s="21"/>
      <c r="S129" s="6"/>
      <c r="T129" s="6"/>
      <c r="U129" s="6"/>
      <c r="V129" s="6"/>
      <c r="W129" s="6"/>
      <c r="X129" s="6"/>
      <c r="Y129" s="6"/>
      <c r="Z129" s="21"/>
      <c r="AA129" s="21"/>
      <c r="AB129" s="6"/>
      <c r="AC129" s="6"/>
      <c r="AD129" s="6"/>
      <c r="AE129" s="6"/>
      <c r="AF129" s="6"/>
      <c r="AG129" s="21"/>
      <c r="AH129" s="21"/>
      <c r="AI129" s="21"/>
      <c r="AJ129" s="21"/>
      <c r="AK129" s="6"/>
      <c r="AL129" s="6"/>
      <c r="AM129" s="6"/>
      <c r="AN129" s="6"/>
      <c r="AO129" s="6"/>
      <c r="AP129" s="6"/>
    </row>
    <row r="130" spans="2:42" ht="12.7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21"/>
      <c r="N130" s="6"/>
      <c r="O130" s="6"/>
      <c r="P130" s="6"/>
      <c r="Q130" s="6"/>
      <c r="R130" s="21"/>
      <c r="S130" s="6"/>
      <c r="T130" s="6"/>
      <c r="U130" s="6"/>
      <c r="V130" s="6"/>
      <c r="W130" s="6"/>
      <c r="X130" s="6"/>
      <c r="Y130" s="6"/>
      <c r="Z130" s="21"/>
      <c r="AA130" s="21"/>
      <c r="AB130" s="6"/>
      <c r="AC130" s="6"/>
      <c r="AD130" s="6"/>
      <c r="AE130" s="6"/>
      <c r="AF130" s="6"/>
      <c r="AG130" s="21"/>
      <c r="AH130" s="21"/>
      <c r="AI130" s="21"/>
      <c r="AJ130" s="21"/>
      <c r="AK130" s="6"/>
      <c r="AL130" s="6"/>
      <c r="AM130" s="6"/>
      <c r="AN130" s="6"/>
      <c r="AO130" s="6"/>
      <c r="AP130" s="6"/>
    </row>
    <row r="131" spans="2:42" ht="12.7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21"/>
      <c r="N131" s="6"/>
      <c r="O131" s="6"/>
      <c r="P131" s="6"/>
      <c r="Q131" s="6"/>
      <c r="R131" s="21"/>
      <c r="S131" s="6"/>
      <c r="T131" s="6"/>
      <c r="U131" s="6"/>
      <c r="V131" s="6"/>
      <c r="W131" s="6"/>
      <c r="X131" s="6"/>
      <c r="Y131" s="6"/>
      <c r="Z131" s="21"/>
      <c r="AA131" s="21"/>
      <c r="AB131" s="6"/>
      <c r="AC131" s="6"/>
      <c r="AD131" s="6"/>
      <c r="AE131" s="6"/>
      <c r="AF131" s="6"/>
      <c r="AG131" s="21"/>
      <c r="AH131" s="21"/>
      <c r="AI131" s="21"/>
      <c r="AJ131" s="21"/>
      <c r="AK131" s="6"/>
      <c r="AL131" s="6"/>
      <c r="AM131" s="6"/>
      <c r="AN131" s="6"/>
      <c r="AO131" s="6"/>
      <c r="AP131" s="6"/>
    </row>
    <row r="132" spans="2:42" ht="12.7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21"/>
      <c r="N132" s="6"/>
      <c r="O132" s="6"/>
      <c r="P132" s="6"/>
      <c r="Q132" s="6"/>
      <c r="R132" s="21"/>
      <c r="S132" s="6"/>
      <c r="T132" s="6"/>
      <c r="U132" s="6"/>
      <c r="V132" s="6"/>
      <c r="W132" s="6"/>
      <c r="X132" s="6"/>
      <c r="Y132" s="6"/>
      <c r="Z132" s="21"/>
      <c r="AA132" s="21"/>
      <c r="AB132" s="6"/>
      <c r="AC132" s="6"/>
      <c r="AD132" s="6"/>
      <c r="AE132" s="6"/>
      <c r="AF132" s="6"/>
      <c r="AG132" s="21"/>
      <c r="AH132" s="21"/>
      <c r="AI132" s="21"/>
      <c r="AJ132" s="21"/>
      <c r="AK132" s="6"/>
      <c r="AL132" s="6"/>
      <c r="AM132" s="6"/>
      <c r="AN132" s="6"/>
      <c r="AO132" s="6"/>
      <c r="AP132" s="6"/>
    </row>
    <row r="133" spans="2:42" ht="12.7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21"/>
      <c r="N133" s="6"/>
      <c r="O133" s="6"/>
      <c r="P133" s="6"/>
      <c r="Q133" s="6"/>
      <c r="R133" s="21"/>
      <c r="S133" s="6"/>
      <c r="T133" s="6"/>
      <c r="U133" s="6"/>
      <c r="V133" s="6"/>
      <c r="W133" s="6"/>
      <c r="X133" s="6"/>
      <c r="Y133" s="6"/>
      <c r="Z133" s="21"/>
      <c r="AA133" s="21"/>
      <c r="AB133" s="6"/>
      <c r="AC133" s="6"/>
      <c r="AD133" s="6"/>
      <c r="AE133" s="6"/>
      <c r="AF133" s="6"/>
      <c r="AG133" s="21"/>
      <c r="AH133" s="21"/>
      <c r="AI133" s="21"/>
      <c r="AJ133" s="21"/>
      <c r="AK133" s="6"/>
      <c r="AL133" s="6"/>
      <c r="AM133" s="6"/>
      <c r="AN133" s="6"/>
      <c r="AO133" s="6"/>
      <c r="AP133" s="6"/>
    </row>
    <row r="134" spans="2:42" ht="12.7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21"/>
      <c r="N134" s="6"/>
      <c r="O134" s="6"/>
      <c r="P134" s="6"/>
      <c r="Q134" s="6"/>
      <c r="R134" s="21"/>
      <c r="S134" s="6"/>
      <c r="T134" s="6"/>
      <c r="U134" s="6"/>
      <c r="V134" s="6"/>
      <c r="W134" s="6"/>
      <c r="X134" s="6"/>
      <c r="Y134" s="6"/>
      <c r="Z134" s="21"/>
      <c r="AA134" s="21"/>
      <c r="AB134" s="6"/>
      <c r="AC134" s="6"/>
      <c r="AD134" s="6"/>
      <c r="AE134" s="6"/>
      <c r="AF134" s="6"/>
      <c r="AG134" s="21"/>
      <c r="AH134" s="21"/>
      <c r="AI134" s="21"/>
      <c r="AJ134" s="21"/>
      <c r="AK134" s="6"/>
      <c r="AL134" s="6"/>
      <c r="AM134" s="6"/>
      <c r="AN134" s="6"/>
      <c r="AO134" s="6"/>
      <c r="AP134" s="6"/>
    </row>
    <row r="135" spans="2:42" ht="12.7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21"/>
      <c r="N135" s="6"/>
      <c r="O135" s="6"/>
      <c r="P135" s="6"/>
      <c r="Q135" s="6"/>
      <c r="R135" s="21"/>
      <c r="S135" s="6"/>
      <c r="T135" s="6"/>
      <c r="U135" s="6"/>
      <c r="V135" s="6"/>
      <c r="W135" s="6"/>
      <c r="X135" s="6"/>
      <c r="Y135" s="6"/>
      <c r="Z135" s="21"/>
      <c r="AA135" s="21"/>
      <c r="AB135" s="6"/>
      <c r="AC135" s="6"/>
      <c r="AD135" s="6"/>
      <c r="AE135" s="6"/>
      <c r="AF135" s="6"/>
      <c r="AG135" s="21"/>
      <c r="AH135" s="21"/>
      <c r="AI135" s="21"/>
      <c r="AJ135" s="21"/>
      <c r="AK135" s="6"/>
      <c r="AL135" s="6"/>
      <c r="AM135" s="6"/>
      <c r="AN135" s="6"/>
      <c r="AO135" s="6"/>
      <c r="AP135" s="6"/>
    </row>
    <row r="136" spans="2:42" ht="12.7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21"/>
      <c r="N136" s="6"/>
      <c r="O136" s="6"/>
      <c r="P136" s="6"/>
      <c r="Q136" s="6"/>
      <c r="R136" s="21"/>
      <c r="S136" s="6"/>
      <c r="T136" s="6"/>
      <c r="U136" s="6"/>
      <c r="V136" s="6"/>
      <c r="W136" s="6"/>
      <c r="X136" s="6"/>
      <c r="Y136" s="6"/>
      <c r="Z136" s="21"/>
      <c r="AA136" s="21"/>
      <c r="AB136" s="6"/>
      <c r="AC136" s="6"/>
      <c r="AD136" s="6"/>
      <c r="AE136" s="6"/>
      <c r="AF136" s="6"/>
      <c r="AG136" s="21"/>
      <c r="AH136" s="21"/>
      <c r="AI136" s="21"/>
      <c r="AJ136" s="21"/>
      <c r="AK136" s="6"/>
      <c r="AL136" s="6"/>
      <c r="AM136" s="6"/>
      <c r="AN136" s="6"/>
      <c r="AO136" s="6"/>
      <c r="AP136" s="6"/>
    </row>
    <row r="137" spans="2:42" ht="12.7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21"/>
      <c r="N137" s="6"/>
      <c r="O137" s="6"/>
      <c r="P137" s="6"/>
      <c r="Q137" s="6"/>
      <c r="R137" s="21"/>
      <c r="S137" s="6"/>
      <c r="T137" s="6"/>
      <c r="U137" s="6"/>
      <c r="V137" s="6"/>
      <c r="W137" s="6"/>
      <c r="X137" s="6"/>
      <c r="Y137" s="6"/>
      <c r="Z137" s="21"/>
      <c r="AA137" s="21"/>
      <c r="AB137" s="6"/>
      <c r="AC137" s="6"/>
      <c r="AD137" s="6"/>
      <c r="AE137" s="6"/>
      <c r="AF137" s="6"/>
      <c r="AG137" s="21"/>
      <c r="AH137" s="21"/>
      <c r="AI137" s="21"/>
      <c r="AJ137" s="21"/>
      <c r="AK137" s="6"/>
      <c r="AL137" s="6"/>
      <c r="AM137" s="6"/>
      <c r="AN137" s="6"/>
      <c r="AO137" s="6"/>
      <c r="AP137" s="6"/>
    </row>
    <row r="138" spans="2:42" ht="12.7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21"/>
      <c r="N138" s="6"/>
      <c r="O138" s="6"/>
      <c r="P138" s="6"/>
      <c r="Q138" s="6"/>
      <c r="R138" s="21"/>
      <c r="S138" s="6"/>
      <c r="T138" s="6"/>
      <c r="U138" s="6"/>
      <c r="V138" s="6"/>
      <c r="W138" s="6"/>
      <c r="X138" s="6"/>
      <c r="Y138" s="6"/>
      <c r="Z138" s="21"/>
      <c r="AA138" s="21"/>
      <c r="AB138" s="6"/>
      <c r="AC138" s="6"/>
      <c r="AD138" s="6"/>
      <c r="AE138" s="6"/>
      <c r="AF138" s="6"/>
      <c r="AG138" s="21"/>
      <c r="AH138" s="21"/>
      <c r="AI138" s="21"/>
      <c r="AJ138" s="21"/>
      <c r="AK138" s="6"/>
      <c r="AL138" s="6"/>
      <c r="AM138" s="6"/>
      <c r="AN138" s="6"/>
      <c r="AO138" s="6"/>
      <c r="AP138" s="6"/>
    </row>
    <row r="179" spans="26:35" ht="12.75">
      <c r="Z179" s="26"/>
      <c r="AA179" s="26"/>
      <c r="AB179" s="27"/>
      <c r="AC179" s="27"/>
      <c r="AD179" s="27"/>
      <c r="AE179" s="27"/>
      <c r="AF179" s="27"/>
      <c r="AG179" s="26"/>
      <c r="AH179" s="26"/>
      <c r="AI179" s="26"/>
    </row>
    <row r="180" spans="26:35" ht="12.75">
      <c r="Z180" s="26"/>
      <c r="AA180" s="26"/>
      <c r="AB180" s="27"/>
      <c r="AC180" s="27"/>
      <c r="AD180" s="27"/>
      <c r="AE180" s="27"/>
      <c r="AF180" s="27"/>
      <c r="AG180" s="26"/>
      <c r="AH180" s="26"/>
      <c r="AI180" s="26"/>
    </row>
    <row r="181" spans="26:35" ht="12.75">
      <c r="Z181" s="26"/>
      <c r="AA181" s="26"/>
      <c r="AB181" s="27"/>
      <c r="AC181" s="27"/>
      <c r="AD181" s="27"/>
      <c r="AE181" s="27"/>
      <c r="AF181" s="27"/>
      <c r="AG181" s="26"/>
      <c r="AH181" s="26"/>
      <c r="AI181" s="26"/>
    </row>
    <row r="182" spans="26:35" ht="12.75">
      <c r="Z182" s="26"/>
      <c r="AA182" s="26"/>
      <c r="AB182" s="27"/>
      <c r="AC182" s="27"/>
      <c r="AD182" s="27"/>
      <c r="AE182" s="27"/>
      <c r="AF182" s="27"/>
      <c r="AG182" s="26"/>
      <c r="AH182" s="26"/>
      <c r="AI182" s="26"/>
    </row>
    <row r="183" spans="26:35" ht="12.75">
      <c r="Z183" s="26"/>
      <c r="AA183" s="26"/>
      <c r="AB183" s="27"/>
      <c r="AC183" s="27"/>
      <c r="AD183" s="27"/>
      <c r="AE183" s="27"/>
      <c r="AF183" s="27"/>
      <c r="AG183" s="26"/>
      <c r="AH183" s="26"/>
      <c r="AI183" s="26"/>
    </row>
    <row r="184" spans="26:35" ht="12.75">
      <c r="Z184" s="26"/>
      <c r="AA184" s="26"/>
      <c r="AB184" s="27"/>
      <c r="AC184" s="27"/>
      <c r="AD184" s="27"/>
      <c r="AE184" s="27"/>
      <c r="AF184" s="27"/>
      <c r="AG184" s="26"/>
      <c r="AH184" s="26"/>
      <c r="AI184" s="26"/>
    </row>
    <row r="185" spans="26:35" ht="12.75">
      <c r="Z185" s="26"/>
      <c r="AA185" s="26"/>
      <c r="AB185" s="27"/>
      <c r="AC185" s="27"/>
      <c r="AD185" s="27"/>
      <c r="AE185" s="27"/>
      <c r="AF185" s="27"/>
      <c r="AG185" s="26"/>
      <c r="AH185" s="26"/>
      <c r="AI185" s="26"/>
    </row>
    <row r="186" spans="26:35" ht="12.75">
      <c r="Z186" s="26"/>
      <c r="AA186" s="26"/>
      <c r="AB186" s="27"/>
      <c r="AC186" s="27"/>
      <c r="AD186" s="27"/>
      <c r="AE186" s="27"/>
      <c r="AF186" s="27"/>
      <c r="AG186" s="26"/>
      <c r="AH186" s="26"/>
      <c r="AI186" s="26"/>
    </row>
  </sheetData>
  <sheetProtection/>
  <mergeCells count="2">
    <mergeCell ref="A1:AP1"/>
    <mergeCell ref="A2:AP2"/>
  </mergeCells>
  <conditionalFormatting sqref="AP9:AP100">
    <cfRule type="cellIs" priority="1" dxfId="10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  <rowBreaks count="1" manualBreakCount="1">
    <brk id="10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2019-08-23T10:39:25Z</cp:lastPrinted>
  <dcterms:created xsi:type="dcterms:W3CDTF">2002-11-05T08:53:00Z</dcterms:created>
  <dcterms:modified xsi:type="dcterms:W3CDTF">2019-09-05T11:26:57Z</dcterms:modified>
  <cp:category/>
  <cp:version/>
  <cp:contentType/>
  <cp:contentStatus/>
</cp:coreProperties>
</file>